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lorencia\Nextcloud\DASDP\Deuda pública\Reestructuraciones y acuerdos\Reestructuración 2020\Argentina V (2020-08-04)\"/>
    </mc:Choice>
  </mc:AlternateContent>
  <xr:revisionPtr revIDLastSave="0" documentId="13_ncr:1_{8D1E3444-3BFA-4735-B969-5122906284B0}" xr6:coauthVersionLast="45" xr6:coauthVersionMax="45" xr10:uidLastSave="{00000000-0000-0000-0000-000000000000}"/>
  <bookViews>
    <workbookView xWindow="-120" yWindow="-120" windowWidth="20730" windowHeight="11160" tabRatio="797" xr2:uid="{00000000-000D-0000-FFFF-FFFF00000000}"/>
  </bookViews>
  <sheets>
    <sheet name="Resumen Perfil" sheetId="23" r:id="rId1"/>
    <sheet name="Valor propuesta" sheetId="7" r:id="rId2"/>
    <sheet name="Cupones promedio" sheetId="20" r:id="rId3"/>
    <sheet name="Perfil de vencimientos" sheetId="22" r:id="rId4"/>
    <sheet name="Nuevos Bonos" sheetId="3" r:id="rId5"/>
    <sheet name="Intereses corridos" sheetId="5" r:id="rId6"/>
    <sheet name="Eleccion de canje" sheetId="6" r:id="rId7"/>
  </sheets>
  <externalReferences>
    <externalReference r:id="rId8"/>
    <externalReference r:id="rId9"/>
  </externalReferences>
  <definedNames>
    <definedName name="_xlnm._FilterDatabase" localSheetId="6" hidden="1">'Eleccion de canje'!$B$5:$Q$5</definedName>
    <definedName name="_xlnm._FilterDatabase" localSheetId="1" hidden="1">'Valor propuesta'!$P$24:$Q$29</definedName>
    <definedName name="_Order1" hidden="1">255</definedName>
    <definedName name="_Order2" hidden="1">255</definedName>
    <definedName name="ACwvu.PLA2." hidden="1">'[1]COP FED'!$A$1:$N$49</definedName>
    <definedName name="Swvu.PLA2." hidden="1">'[1]COP FED'!$A$1:$N$49</definedName>
    <definedName name="Z_0C2BA18A_21C0_43A0_BA72_AEF5075BA836_.wvu.Cols" hidden="1">'[2]Prog. Fin.'!$E:$E,'[2]Prog. Fin.'!$I:$J,'[2]Prog. Fin.'!$N:$N,'[2]Prog. Fin.'!$R:$S</definedName>
    <definedName name="Z_0C2BA18A_21C0_43A0_BA72_AEF5075BA836_.wvu.Rows" hidden="1">'[2]Prog. Fin.'!$9:$14,'[2]Prog. Fin.'!$17:$26,'[2]Prog. Fin.'!$31:$33,'[2]Prog. Fin.'!$40:$41,'[2]Prog. Fin.'!$44:$46,'[2]Prog. Fin.'!$81:$83,'[2]Prog. Fin.'!$157:$159</definedName>
    <definedName name="Z_AB0CFEEA_4F19_4F6A_9BEA_953016B5C36F_.wvu.Cols" hidden="1">'[2]Prog. Fin.'!$E:$E,'[2]Prog. Fin.'!$I:$J,'[2]Prog. Fin.'!$N:$N,'[2]Prog. Fin.'!$R:$S</definedName>
    <definedName name="Z_AB0CFEEA_4F19_4F6A_9BEA_953016B5C36F_.wvu.Rows" hidden="1">'[2]Prog. Fin.'!$9:$14,'[2]Prog. Fin.'!$17:$26,'[2]Prog. Fin.'!$31:$33,'[2]Prog. Fin.'!$40:$41,'[2]Prog. Fin.'!$44:$46,'[2]Prog. Fin.'!$81:$83,'[2]Prog. Fin.'!$157:$159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7" l="1"/>
  <c r="C30" i="7"/>
  <c r="M9" i="6"/>
  <c r="G9" i="6"/>
  <c r="E7" i="6" l="1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6" i="6"/>
  <c r="E10" i="23" l="1"/>
  <c r="D10" i="23"/>
  <c r="C10" i="23"/>
  <c r="B10" i="23"/>
  <c r="E7" i="23"/>
  <c r="E6" i="23"/>
  <c r="D7" i="23"/>
  <c r="D6" i="23"/>
  <c r="C7" i="23"/>
  <c r="C6" i="23"/>
  <c r="B7" i="23"/>
  <c r="B6" i="23"/>
  <c r="F10" i="23" l="1"/>
  <c r="C13" i="23"/>
  <c r="B13" i="23"/>
  <c r="E5" i="23"/>
  <c r="C5" i="23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8" i="22"/>
  <c r="F38" i="22"/>
  <c r="E38" i="22"/>
  <c r="C38" i="22"/>
  <c r="B38" i="22"/>
  <c r="Q37" i="22"/>
  <c r="I37" i="22"/>
  <c r="J37" i="22" s="1"/>
  <c r="H37" i="22"/>
  <c r="D37" i="22"/>
  <c r="Q36" i="22"/>
  <c r="I36" i="22"/>
  <c r="H36" i="22"/>
  <c r="D36" i="22"/>
  <c r="Q35" i="22"/>
  <c r="I35" i="22"/>
  <c r="H35" i="22"/>
  <c r="D35" i="22"/>
  <c r="Q34" i="22"/>
  <c r="I34" i="22"/>
  <c r="H34" i="22"/>
  <c r="D34" i="22"/>
  <c r="Q33" i="22"/>
  <c r="I33" i="22"/>
  <c r="H33" i="22"/>
  <c r="D33" i="22"/>
  <c r="Q32" i="22"/>
  <c r="I32" i="22"/>
  <c r="H32" i="22"/>
  <c r="D32" i="22"/>
  <c r="Q31" i="22"/>
  <c r="I31" i="22"/>
  <c r="H31" i="22"/>
  <c r="J31" i="22" s="1"/>
  <c r="D31" i="22"/>
  <c r="Q30" i="22"/>
  <c r="I30" i="22"/>
  <c r="H30" i="22"/>
  <c r="D30" i="22"/>
  <c r="I29" i="22"/>
  <c r="H29" i="22"/>
  <c r="D29" i="22"/>
  <c r="I28" i="22"/>
  <c r="H28" i="22"/>
  <c r="J28" i="22" s="1"/>
  <c r="D28" i="22"/>
  <c r="I27" i="22"/>
  <c r="H27" i="22"/>
  <c r="D27" i="22"/>
  <c r="I26" i="22"/>
  <c r="H26" i="22"/>
  <c r="J26" i="22" s="1"/>
  <c r="D26" i="22"/>
  <c r="I25" i="22"/>
  <c r="H25" i="22"/>
  <c r="D25" i="22"/>
  <c r="I24" i="22"/>
  <c r="H24" i="22"/>
  <c r="J24" i="22" s="1"/>
  <c r="D24" i="22"/>
  <c r="I23" i="22"/>
  <c r="H23" i="22"/>
  <c r="D23" i="22"/>
  <c r="I22" i="22"/>
  <c r="H22" i="22"/>
  <c r="J22" i="22" s="1"/>
  <c r="D22" i="22"/>
  <c r="I21" i="22"/>
  <c r="H21" i="22"/>
  <c r="D21" i="22"/>
  <c r="I20" i="22"/>
  <c r="H20" i="22"/>
  <c r="J20" i="22" s="1"/>
  <c r="D20" i="22"/>
  <c r="I19" i="22"/>
  <c r="H19" i="22"/>
  <c r="D19" i="22"/>
  <c r="I18" i="22"/>
  <c r="H18" i="22"/>
  <c r="D18" i="22"/>
  <c r="I17" i="22"/>
  <c r="H17" i="22"/>
  <c r="D17" i="22"/>
  <c r="I16" i="22"/>
  <c r="H16" i="22"/>
  <c r="J16" i="22" s="1"/>
  <c r="D16" i="22"/>
  <c r="I15" i="22"/>
  <c r="H15" i="22"/>
  <c r="D15" i="22"/>
  <c r="I14" i="22"/>
  <c r="H14" i="22"/>
  <c r="D14" i="22"/>
  <c r="I13" i="22"/>
  <c r="H13" i="22"/>
  <c r="D13" i="22"/>
  <c r="I12" i="22"/>
  <c r="H12" i="22"/>
  <c r="J12" i="22" s="1"/>
  <c r="D12" i="22"/>
  <c r="I11" i="22"/>
  <c r="H11" i="22"/>
  <c r="D11" i="22"/>
  <c r="I10" i="22"/>
  <c r="H10" i="22"/>
  <c r="D10" i="22"/>
  <c r="I9" i="22"/>
  <c r="H9" i="22"/>
  <c r="D9" i="22"/>
  <c r="P38" i="22"/>
  <c r="I8" i="22"/>
  <c r="H8" i="22"/>
  <c r="J8" i="22" s="1"/>
  <c r="D8" i="22"/>
  <c r="D13" i="23" l="1"/>
  <c r="B5" i="23"/>
  <c r="E13" i="23"/>
  <c r="F6" i="23"/>
  <c r="D5" i="23"/>
  <c r="F7" i="23"/>
  <c r="J11" i="22"/>
  <c r="J15" i="22"/>
  <c r="J19" i="22"/>
  <c r="J23" i="22"/>
  <c r="J27" i="22"/>
  <c r="J10" i="22"/>
  <c r="J14" i="22"/>
  <c r="J18" i="22"/>
  <c r="J30" i="22"/>
  <c r="I38" i="22"/>
  <c r="G38" i="22"/>
  <c r="J9" i="22"/>
  <c r="J13" i="22"/>
  <c r="J17" i="22"/>
  <c r="J21" i="22"/>
  <c r="J25" i="22"/>
  <c r="J29" i="22"/>
  <c r="J33" i="22"/>
  <c r="J34" i="22"/>
  <c r="J35" i="22"/>
  <c r="J36" i="22"/>
  <c r="J32" i="22"/>
  <c r="D38" i="22"/>
  <c r="H38" i="22"/>
  <c r="Q8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O38" i="22"/>
  <c r="F13" i="23" l="1"/>
  <c r="F5" i="23"/>
  <c r="J38" i="22"/>
  <c r="Q38" i="22"/>
  <c r="C11" i="3" l="1"/>
  <c r="D11" i="3" s="1"/>
  <c r="E11" i="3" s="1"/>
  <c r="F11" i="3" s="1"/>
  <c r="G11" i="3" s="1"/>
  <c r="H11" i="3" s="1"/>
  <c r="I11" i="3" s="1"/>
  <c r="J11" i="3" s="1"/>
  <c r="K11" i="3" s="1"/>
  <c r="L11" i="3" s="1"/>
  <c r="M11" i="3" s="1"/>
  <c r="N26" i="3" l="1"/>
  <c r="CX26" i="3" l="1"/>
  <c r="CU27" i="3"/>
  <c r="CN23" i="3"/>
  <c r="CT23" i="3"/>
  <c r="CQ23" i="3"/>
  <c r="CK23" i="3"/>
  <c r="CH23" i="3"/>
  <c r="CE23" i="3"/>
  <c r="CB23" i="3"/>
  <c r="BY23" i="3"/>
  <c r="BV23" i="3"/>
  <c r="BS23" i="3"/>
  <c r="BP23" i="3"/>
  <c r="BM23" i="3"/>
  <c r="T23" i="3"/>
  <c r="P23" i="3"/>
  <c r="A25" i="3"/>
  <c r="O25" i="3"/>
  <c r="N25" i="3" l="1"/>
  <c r="DA26" i="3"/>
  <c r="DA25" i="3"/>
  <c r="DB25" i="3" s="1"/>
  <c r="I7" i="5" l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I6" i="5"/>
  <c r="H6" i="5"/>
  <c r="G7" i="5" l="1"/>
  <c r="J7" i="5" s="1"/>
  <c r="G8" i="5"/>
  <c r="J8" i="5" s="1"/>
  <c r="G9" i="5"/>
  <c r="J9" i="5" s="1"/>
  <c r="G10" i="5"/>
  <c r="J10" i="5" s="1"/>
  <c r="G11" i="5"/>
  <c r="J11" i="5" s="1"/>
  <c r="F6" i="6" s="1"/>
  <c r="G12" i="5"/>
  <c r="J12" i="5" s="1"/>
  <c r="G13" i="5"/>
  <c r="J13" i="5" s="1"/>
  <c r="G14" i="5"/>
  <c r="J14" i="5" s="1"/>
  <c r="G15" i="5"/>
  <c r="J15" i="5" s="1"/>
  <c r="G16" i="5"/>
  <c r="J16" i="5" s="1"/>
  <c r="G17" i="5"/>
  <c r="J17" i="5" s="1"/>
  <c r="G18" i="5"/>
  <c r="J18" i="5" s="1"/>
  <c r="G19" i="5"/>
  <c r="J19" i="5" s="1"/>
  <c r="G20" i="5"/>
  <c r="J20" i="5" s="1"/>
  <c r="G21" i="5"/>
  <c r="J21" i="5" s="1"/>
  <c r="G22" i="5"/>
  <c r="J22" i="5" s="1"/>
  <c r="G23" i="5"/>
  <c r="J23" i="5" s="1"/>
  <c r="G24" i="5"/>
  <c r="J24" i="5" s="1"/>
  <c r="G25" i="5"/>
  <c r="J25" i="5" s="1"/>
  <c r="G26" i="5"/>
  <c r="J26" i="5" s="1"/>
  <c r="G6" i="5"/>
  <c r="J6" i="5" s="1"/>
  <c r="N22" i="6"/>
  <c r="I20" i="6" l="1"/>
  <c r="I21" i="6"/>
  <c r="I19" i="6"/>
  <c r="D7" i="3" l="1"/>
  <c r="E7" i="3"/>
  <c r="F7" i="3"/>
  <c r="G7" i="3"/>
  <c r="H7" i="3"/>
  <c r="I7" i="3"/>
  <c r="J7" i="3"/>
  <c r="K7" i="3"/>
  <c r="L7" i="3"/>
  <c r="M7" i="3"/>
  <c r="C7" i="3"/>
  <c r="P26" i="6" l="1"/>
  <c r="P27" i="6" s="1"/>
  <c r="K19" i="3" s="1"/>
  <c r="K25" i="6"/>
  <c r="K27" i="6" s="1"/>
  <c r="J19" i="3" s="1"/>
  <c r="O24" i="6"/>
  <c r="T24" i="6" s="1"/>
  <c r="J23" i="6"/>
  <c r="T23" i="6" s="1"/>
  <c r="Q27" i="6"/>
  <c r="M19" i="3" s="1"/>
  <c r="T19" i="6"/>
  <c r="M11" i="6"/>
  <c r="T11" i="6" s="1"/>
  <c r="M26" i="7" s="1"/>
  <c r="M10" i="6"/>
  <c r="H8" i="6"/>
  <c r="H7" i="6"/>
  <c r="H6" i="6"/>
  <c r="F13" i="6"/>
  <c r="A27" i="3"/>
  <c r="BH23" i="3"/>
  <c r="BD23" i="3"/>
  <c r="AZ23" i="3"/>
  <c r="AV23" i="3"/>
  <c r="AR23" i="3"/>
  <c r="AN23" i="3"/>
  <c r="AJ23" i="3"/>
  <c r="AF23" i="3"/>
  <c r="AB23" i="3"/>
  <c r="X23" i="3"/>
  <c r="M10" i="3"/>
  <c r="L10" i="3"/>
  <c r="K10" i="3"/>
  <c r="J10" i="3"/>
  <c r="I10" i="3"/>
  <c r="H10" i="3"/>
  <c r="G10" i="3"/>
  <c r="F10" i="3"/>
  <c r="E10" i="3"/>
  <c r="D10" i="3"/>
  <c r="C10" i="3"/>
  <c r="B10" i="3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CL26" i="3"/>
  <c r="CF26" i="3"/>
  <c r="BQ26" i="3"/>
  <c r="CU26" i="3"/>
  <c r="CO26" i="3"/>
  <c r="BT26" i="3"/>
  <c r="CC26" i="3"/>
  <c r="CI26" i="3"/>
  <c r="CR26" i="3"/>
  <c r="BW26" i="3"/>
  <c r="BZ26" i="3"/>
  <c r="H14" i="6"/>
  <c r="I14" i="6" s="1"/>
  <c r="H13" i="6"/>
  <c r="I13" i="6" s="1"/>
  <c r="H15" i="6"/>
  <c r="I15" i="6" s="1"/>
  <c r="H12" i="6"/>
  <c r="I12" i="6" s="1"/>
  <c r="H16" i="6"/>
  <c r="I16" i="6" s="1"/>
  <c r="M18" i="6"/>
  <c r="N18" i="6" s="1"/>
  <c r="M17" i="6"/>
  <c r="N17" i="6" s="1"/>
  <c r="F12" i="6"/>
  <c r="G17" i="6"/>
  <c r="K15" i="7"/>
  <c r="T26" i="6"/>
  <c r="M32" i="7" s="1"/>
  <c r="T22" i="6"/>
  <c r="I29" i="7" s="1"/>
  <c r="F21" i="6"/>
  <c r="R21" i="6" s="1"/>
  <c r="S21" i="6" s="1"/>
  <c r="F7" i="6"/>
  <c r="R7" i="6" s="1"/>
  <c r="S7" i="6" s="1"/>
  <c r="T6" i="6"/>
  <c r="M7" i="7" s="1"/>
  <c r="E18" i="7"/>
  <c r="G18" i="7"/>
  <c r="K18" i="7"/>
  <c r="AO26" i="3"/>
  <c r="Q26" i="3"/>
  <c r="M15" i="7"/>
  <c r="I18" i="7"/>
  <c r="J27" i="6"/>
  <c r="H19" i="3" s="1"/>
  <c r="E15" i="7"/>
  <c r="T7" i="6"/>
  <c r="E8" i="7" s="1"/>
  <c r="T10" i="6"/>
  <c r="T25" i="6"/>
  <c r="K19" i="7" s="1"/>
  <c r="O27" i="6"/>
  <c r="I19" i="3" s="1"/>
  <c r="BI26" i="3"/>
  <c r="BA26" i="3"/>
  <c r="AS26" i="3"/>
  <c r="AK26" i="3"/>
  <c r="AC26" i="3"/>
  <c r="U26" i="3"/>
  <c r="BE26" i="3"/>
  <c r="O27" i="3"/>
  <c r="DA27" i="3" s="1"/>
  <c r="Y26" i="3"/>
  <c r="AG26" i="3"/>
  <c r="AW26" i="3"/>
  <c r="L27" i="6"/>
  <c r="L19" i="3" s="1"/>
  <c r="T20" i="6"/>
  <c r="K26" i="7"/>
  <c r="F8" i="6"/>
  <c r="R8" i="6" s="1"/>
  <c r="S8" i="6" s="1"/>
  <c r="G26" i="7"/>
  <c r="I26" i="7"/>
  <c r="T8" i="6"/>
  <c r="E9" i="7" s="1"/>
  <c r="T21" i="6"/>
  <c r="I32" i="7"/>
  <c r="G32" i="7"/>
  <c r="I31" i="7"/>
  <c r="T9" i="6"/>
  <c r="E26" i="7"/>
  <c r="M31" i="7"/>
  <c r="G31" i="7"/>
  <c r="E31" i="7"/>
  <c r="K31" i="7"/>
  <c r="G22" i="6"/>
  <c r="G26" i="6"/>
  <c r="R26" i="6" s="1"/>
  <c r="S26" i="6" s="1"/>
  <c r="G15" i="7"/>
  <c r="M18" i="7"/>
  <c r="I15" i="7"/>
  <c r="F15" i="6"/>
  <c r="K32" i="7" l="1"/>
  <c r="E19" i="7"/>
  <c r="E32" i="7"/>
  <c r="M29" i="7"/>
  <c r="G19" i="7"/>
  <c r="K29" i="7"/>
  <c r="M8" i="7"/>
  <c r="I7" i="7"/>
  <c r="G8" i="7"/>
  <c r="E29" i="7"/>
  <c r="I8" i="7"/>
  <c r="G29" i="7"/>
  <c r="K7" i="7"/>
  <c r="CT27" i="3"/>
  <c r="CH27" i="3"/>
  <c r="BH27" i="3"/>
  <c r="AR27" i="3"/>
  <c r="AB27" i="3"/>
  <c r="AJ27" i="3"/>
  <c r="AV27" i="3"/>
  <c r="P27" i="3"/>
  <c r="CQ27" i="3"/>
  <c r="CE27" i="3"/>
  <c r="BD27" i="3"/>
  <c r="AN27" i="3"/>
  <c r="X27" i="3"/>
  <c r="CN27" i="3"/>
  <c r="AZ27" i="3"/>
  <c r="T27" i="3"/>
  <c r="CK27" i="3"/>
  <c r="AF27" i="3"/>
  <c r="BN26" i="3"/>
  <c r="BO26" i="3" s="1"/>
  <c r="N27" i="3"/>
  <c r="CI27" i="3"/>
  <c r="CC27" i="3"/>
  <c r="CU28" i="3"/>
  <c r="CO27" i="3"/>
  <c r="CL27" i="3"/>
  <c r="CR27" i="3"/>
  <c r="CF27" i="3"/>
  <c r="BZ27" i="3"/>
  <c r="BN27" i="3"/>
  <c r="BW27" i="3"/>
  <c r="BT27" i="3"/>
  <c r="BQ27" i="3"/>
  <c r="CA26" i="3"/>
  <c r="CV26" i="3"/>
  <c r="BX26" i="3"/>
  <c r="CD26" i="3"/>
  <c r="BR26" i="3"/>
  <c r="CS26" i="3"/>
  <c r="BU26" i="3"/>
  <c r="CG26" i="3"/>
  <c r="CJ26" i="3"/>
  <c r="CP26" i="3"/>
  <c r="CM26" i="3"/>
  <c r="M25" i="7"/>
  <c r="G25" i="7"/>
  <c r="I25" i="7"/>
  <c r="K25" i="7"/>
  <c r="E25" i="7"/>
  <c r="H27" i="6"/>
  <c r="D19" i="3" s="1"/>
  <c r="BS27" i="3" s="1"/>
  <c r="R22" i="6"/>
  <c r="S22" i="6" s="1"/>
  <c r="G10" i="6"/>
  <c r="R10" i="6" s="1"/>
  <c r="S10" i="6" s="1"/>
  <c r="R6" i="6"/>
  <c r="S6" i="6" s="1"/>
  <c r="G18" i="6"/>
  <c r="E30" i="7"/>
  <c r="M17" i="7"/>
  <c r="M16" i="7"/>
  <c r="F16" i="6"/>
  <c r="R16" i="6" s="1"/>
  <c r="S16" i="6" s="1"/>
  <c r="R9" i="6"/>
  <c r="S9" i="6" s="1"/>
  <c r="T16" i="6"/>
  <c r="K14" i="7" s="1"/>
  <c r="K8" i="7"/>
  <c r="AD26" i="3"/>
  <c r="AE26" i="3" s="1"/>
  <c r="AP26" i="3"/>
  <c r="AQ26" i="3" s="1"/>
  <c r="AT26" i="3"/>
  <c r="AU26" i="3" s="1"/>
  <c r="E7" i="7"/>
  <c r="G7" i="7"/>
  <c r="AH26" i="3"/>
  <c r="AI26" i="3" s="1"/>
  <c r="G11" i="6"/>
  <c r="R11" i="6" s="1"/>
  <c r="S11" i="6" s="1"/>
  <c r="M19" i="7"/>
  <c r="I19" i="7"/>
  <c r="G24" i="6"/>
  <c r="R24" i="6" s="1"/>
  <c r="S24" i="6" s="1"/>
  <c r="F19" i="6"/>
  <c r="R19" i="6" s="1"/>
  <c r="S19" i="6" s="1"/>
  <c r="AL26" i="3"/>
  <c r="AM26" i="3" s="1"/>
  <c r="R12" i="6"/>
  <c r="S12" i="6" s="1"/>
  <c r="BB26" i="3"/>
  <c r="BC26" i="3" s="1"/>
  <c r="R15" i="6"/>
  <c r="S15" i="6" s="1"/>
  <c r="G30" i="7"/>
  <c r="M30" i="7"/>
  <c r="K30" i="7"/>
  <c r="I30" i="7"/>
  <c r="F23" i="6"/>
  <c r="R23" i="6" s="1"/>
  <c r="S23" i="6" s="1"/>
  <c r="K16" i="7"/>
  <c r="I16" i="7"/>
  <c r="G16" i="7"/>
  <c r="E16" i="7"/>
  <c r="T12" i="6"/>
  <c r="T14" i="6"/>
  <c r="F14" i="6"/>
  <c r="R14" i="6" s="1"/>
  <c r="S14" i="6" s="1"/>
  <c r="AS27" i="3"/>
  <c r="Y27" i="3"/>
  <c r="O28" i="3"/>
  <c r="DA28" i="3" s="1"/>
  <c r="AG27" i="3"/>
  <c r="BI27" i="3"/>
  <c r="U27" i="3"/>
  <c r="Q27" i="3"/>
  <c r="AC27" i="3"/>
  <c r="AO27" i="3"/>
  <c r="BE27" i="3"/>
  <c r="BA27" i="3"/>
  <c r="AK27" i="3"/>
  <c r="AW27" i="3"/>
  <c r="F25" i="6"/>
  <c r="R25" i="6" s="1"/>
  <c r="S25" i="6" s="1"/>
  <c r="R26" i="3"/>
  <c r="S26" i="3" s="1"/>
  <c r="K9" i="7"/>
  <c r="I9" i="7"/>
  <c r="G9" i="7"/>
  <c r="M9" i="7"/>
  <c r="F20" i="6"/>
  <c r="R20" i="6" s="1"/>
  <c r="S20" i="6" s="1"/>
  <c r="K17" i="7"/>
  <c r="I17" i="7"/>
  <c r="G17" i="7"/>
  <c r="E17" i="7"/>
  <c r="T15" i="6"/>
  <c r="CY27" i="3" l="1"/>
  <c r="DB27" i="3" s="1"/>
  <c r="CY26" i="3"/>
  <c r="N28" i="3"/>
  <c r="CU29" i="3"/>
  <c r="CR28" i="3"/>
  <c r="CO28" i="3"/>
  <c r="CI28" i="3"/>
  <c r="CL28" i="3"/>
  <c r="CF28" i="3"/>
  <c r="BZ28" i="3"/>
  <c r="CC28" i="3"/>
  <c r="BW28" i="3"/>
  <c r="BQ28" i="3"/>
  <c r="CN28" i="3"/>
  <c r="CE28" i="3"/>
  <c r="CQ28" i="3"/>
  <c r="CH28" i="3"/>
  <c r="CT28" i="3"/>
  <c r="CK28" i="3"/>
  <c r="BU27" i="3"/>
  <c r="BS28" i="3"/>
  <c r="BN28" i="3"/>
  <c r="BT28" i="3"/>
  <c r="CM27" i="3"/>
  <c r="CS27" i="3"/>
  <c r="CV27" i="3"/>
  <c r="CP27" i="3"/>
  <c r="CJ27" i="3"/>
  <c r="CG27" i="3"/>
  <c r="T18" i="6"/>
  <c r="K28" i="7" s="1"/>
  <c r="E14" i="7"/>
  <c r="R13" i="6"/>
  <c r="S13" i="6" s="1"/>
  <c r="G14" i="7"/>
  <c r="G13" i="7"/>
  <c r="M14" i="7"/>
  <c r="G12" i="7"/>
  <c r="I14" i="7"/>
  <c r="BJ27" i="3"/>
  <c r="BK27" i="3" s="1"/>
  <c r="AD27" i="3"/>
  <c r="AE27" i="3" s="1"/>
  <c r="AH27" i="3"/>
  <c r="AI27" i="3" s="1"/>
  <c r="G28" i="7"/>
  <c r="BB27" i="3"/>
  <c r="BC27" i="3" s="1"/>
  <c r="AL27" i="3"/>
  <c r="AM27" i="3" s="1"/>
  <c r="AX27" i="3"/>
  <c r="AY27" i="3" s="1"/>
  <c r="R27" i="3"/>
  <c r="S27" i="3" s="1"/>
  <c r="I27" i="6"/>
  <c r="F19" i="3" s="1"/>
  <c r="BY27" i="3" s="1"/>
  <c r="CA27" i="3" s="1"/>
  <c r="T13" i="6"/>
  <c r="I11" i="7" s="1"/>
  <c r="F27" i="6"/>
  <c r="B19" i="3" s="1"/>
  <c r="BM27" i="3" s="1"/>
  <c r="K13" i="7"/>
  <c r="I13" i="7"/>
  <c r="M13" i="7"/>
  <c r="E13" i="7"/>
  <c r="AP27" i="3"/>
  <c r="AQ27" i="3" s="1"/>
  <c r="G27" i="6"/>
  <c r="C19" i="3" s="1"/>
  <c r="BP27" i="3" s="1"/>
  <c r="BR27" i="3" s="1"/>
  <c r="K10" i="7"/>
  <c r="I10" i="7"/>
  <c r="M10" i="7"/>
  <c r="E10" i="7"/>
  <c r="BF27" i="3"/>
  <c r="BG27" i="3" s="1"/>
  <c r="BF26" i="3"/>
  <c r="BG26" i="3" s="1"/>
  <c r="AX26" i="3"/>
  <c r="AY26" i="3" s="1"/>
  <c r="M28" i="7"/>
  <c r="BJ26" i="3"/>
  <c r="BK26" i="3" s="1"/>
  <c r="G10" i="7"/>
  <c r="V26" i="3"/>
  <c r="W26" i="3" s="1"/>
  <c r="Z27" i="3"/>
  <c r="AA27" i="3" s="1"/>
  <c r="K12" i="7"/>
  <c r="I12" i="7"/>
  <c r="M12" i="7"/>
  <c r="E12" i="7"/>
  <c r="V27" i="3"/>
  <c r="W27" i="3" s="1"/>
  <c r="AT27" i="3"/>
  <c r="AU27" i="3" s="1"/>
  <c r="BH28" i="3"/>
  <c r="AZ28" i="3"/>
  <c r="AR28" i="3"/>
  <c r="AJ28" i="3"/>
  <c r="AB28" i="3"/>
  <c r="T28" i="3"/>
  <c r="O29" i="3"/>
  <c r="DA29" i="3" s="1"/>
  <c r="BE28" i="3"/>
  <c r="AW28" i="3"/>
  <c r="AO28" i="3"/>
  <c r="AG28" i="3"/>
  <c r="Y28" i="3"/>
  <c r="Q28" i="3"/>
  <c r="AV28" i="3"/>
  <c r="P28" i="3"/>
  <c r="AK28" i="3"/>
  <c r="BD28" i="3"/>
  <c r="X28" i="3"/>
  <c r="AF28" i="3"/>
  <c r="AC28" i="3"/>
  <c r="BA28" i="3"/>
  <c r="BI28" i="3"/>
  <c r="AN28" i="3"/>
  <c r="AS28" i="3"/>
  <c r="U28" i="3"/>
  <c r="Z26" i="3"/>
  <c r="AA26" i="3" s="1"/>
  <c r="R18" i="6"/>
  <c r="S18" i="6" s="1"/>
  <c r="DB26" i="3" l="1"/>
  <c r="BM28" i="3"/>
  <c r="BO28" i="3" s="1"/>
  <c r="BP28" i="3"/>
  <c r="BR28" i="3" s="1"/>
  <c r="BY28" i="3"/>
  <c r="CA28" i="3" s="1"/>
  <c r="BO27" i="3"/>
  <c r="N29" i="3"/>
  <c r="CU30" i="3"/>
  <c r="CI29" i="3"/>
  <c r="CO29" i="3"/>
  <c r="CR29" i="3"/>
  <c r="BQ29" i="3"/>
  <c r="CC29" i="3"/>
  <c r="BZ29" i="3"/>
  <c r="CF29" i="3"/>
  <c r="BT29" i="3"/>
  <c r="CL29" i="3"/>
  <c r="BW29" i="3"/>
  <c r="CQ29" i="3"/>
  <c r="BS29" i="3"/>
  <c r="CH29" i="3"/>
  <c r="CJ29" i="3" s="1"/>
  <c r="BP29" i="3"/>
  <c r="BY29" i="3"/>
  <c r="CN29" i="3"/>
  <c r="CT29" i="3"/>
  <c r="CV29" i="3" s="1"/>
  <c r="CE29" i="3"/>
  <c r="CK29" i="3"/>
  <c r="CZ26" i="3"/>
  <c r="CY28" i="3"/>
  <c r="BN29" i="3"/>
  <c r="CP28" i="3"/>
  <c r="CV28" i="3"/>
  <c r="BU28" i="3"/>
  <c r="CG28" i="3"/>
  <c r="CS28" i="3"/>
  <c r="CJ28" i="3"/>
  <c r="CM28" i="3"/>
  <c r="I28" i="7"/>
  <c r="E28" i="7"/>
  <c r="K11" i="7"/>
  <c r="G11" i="7"/>
  <c r="E11" i="7"/>
  <c r="M11" i="7"/>
  <c r="Z28" i="3"/>
  <c r="AA28" i="3" s="1"/>
  <c r="AX28" i="3"/>
  <c r="AY28" i="3" s="1"/>
  <c r="V28" i="3"/>
  <c r="W28" i="3" s="1"/>
  <c r="BB28" i="3"/>
  <c r="BC28" i="3" s="1"/>
  <c r="BF28" i="3"/>
  <c r="BG28" i="3" s="1"/>
  <c r="AL28" i="3"/>
  <c r="AM28" i="3" s="1"/>
  <c r="BJ28" i="3"/>
  <c r="BK28" i="3" s="1"/>
  <c r="AP28" i="3"/>
  <c r="AQ28" i="3" s="1"/>
  <c r="R28" i="3"/>
  <c r="S28" i="3" s="1"/>
  <c r="AZ29" i="3"/>
  <c r="AO29" i="3"/>
  <c r="T29" i="3"/>
  <c r="BI29" i="3"/>
  <c r="AN29" i="3"/>
  <c r="AC29" i="3"/>
  <c r="BH29" i="3"/>
  <c r="AW29" i="3"/>
  <c r="AB29" i="3"/>
  <c r="Q29" i="3"/>
  <c r="BE29" i="3"/>
  <c r="AJ29" i="3"/>
  <c r="Y29" i="3"/>
  <c r="AV29" i="3"/>
  <c r="AS29" i="3"/>
  <c r="X29" i="3"/>
  <c r="AG29" i="3"/>
  <c r="O30" i="3"/>
  <c r="DA30" i="3" s="1"/>
  <c r="AR29" i="3"/>
  <c r="BA29" i="3"/>
  <c r="U29" i="3"/>
  <c r="AF29" i="3"/>
  <c r="AK29" i="3"/>
  <c r="P29" i="3"/>
  <c r="BD29" i="3"/>
  <c r="AD28" i="3"/>
  <c r="AE28" i="3" s="1"/>
  <c r="AH28" i="3"/>
  <c r="AI28" i="3" s="1"/>
  <c r="AT28" i="3"/>
  <c r="AU28" i="3" s="1"/>
  <c r="DB28" i="3" l="1"/>
  <c r="CM29" i="3"/>
  <c r="CA29" i="3"/>
  <c r="CP29" i="3"/>
  <c r="N30" i="3"/>
  <c r="CR30" i="3"/>
  <c r="CL30" i="3"/>
  <c r="CF30" i="3"/>
  <c r="CU31" i="3"/>
  <c r="CI30" i="3"/>
  <c r="CC30" i="3"/>
  <c r="BW30" i="3"/>
  <c r="BQ30" i="3"/>
  <c r="CO30" i="3"/>
  <c r="BZ30" i="3"/>
  <c r="BT30" i="3"/>
  <c r="CT30" i="3"/>
  <c r="CH30" i="3"/>
  <c r="CK30" i="3"/>
  <c r="CQ30" i="3"/>
  <c r="CN30" i="3"/>
  <c r="BY30" i="3"/>
  <c r="BS30" i="3"/>
  <c r="BP30" i="3"/>
  <c r="CE30" i="3"/>
  <c r="CY29" i="3"/>
  <c r="DB29" i="3" s="1"/>
  <c r="BR29" i="3"/>
  <c r="BN30" i="3"/>
  <c r="BU29" i="3"/>
  <c r="CG29" i="3"/>
  <c r="CS29" i="3"/>
  <c r="BM29" i="3"/>
  <c r="BM30" i="3"/>
  <c r="BJ29" i="3"/>
  <c r="BK29" i="3" s="1"/>
  <c r="AX29" i="3"/>
  <c r="AY29" i="3" s="1"/>
  <c r="AH29" i="3"/>
  <c r="AI29" i="3" s="1"/>
  <c r="AP29" i="3"/>
  <c r="AQ29" i="3" s="1"/>
  <c r="BB29" i="3"/>
  <c r="BC29" i="3" s="1"/>
  <c r="AL29" i="3"/>
  <c r="AM29" i="3" s="1"/>
  <c r="AT29" i="3"/>
  <c r="AU29" i="3" s="1"/>
  <c r="V29" i="3"/>
  <c r="W29" i="3" s="1"/>
  <c r="BD30" i="3"/>
  <c r="AV30" i="3"/>
  <c r="AN30" i="3"/>
  <c r="AF30" i="3"/>
  <c r="X30" i="3"/>
  <c r="P30" i="3"/>
  <c r="BI30" i="3"/>
  <c r="BA30" i="3"/>
  <c r="AS30" i="3"/>
  <c r="AK30" i="3"/>
  <c r="AC30" i="3"/>
  <c r="U30" i="3"/>
  <c r="AR30" i="3"/>
  <c r="O31" i="3"/>
  <c r="DA31" i="3" s="1"/>
  <c r="AG30" i="3"/>
  <c r="AZ30" i="3"/>
  <c r="T30" i="3"/>
  <c r="AO30" i="3"/>
  <c r="BH30" i="3"/>
  <c r="AB30" i="3"/>
  <c r="AJ30" i="3"/>
  <c r="Y30" i="3"/>
  <c r="BE30" i="3"/>
  <c r="Q30" i="3"/>
  <c r="AW30" i="3"/>
  <c r="BF29" i="3"/>
  <c r="BG29" i="3" s="1"/>
  <c r="AD29" i="3"/>
  <c r="AE29" i="3" s="1"/>
  <c r="R29" i="3"/>
  <c r="S29" i="3" s="1"/>
  <c r="Z29" i="3"/>
  <c r="AA29" i="3" s="1"/>
  <c r="CP30" i="3" l="1"/>
  <c r="CA30" i="3"/>
  <c r="CM30" i="3"/>
  <c r="CY30" i="3"/>
  <c r="N31" i="3"/>
  <c r="CO31" i="3"/>
  <c r="CR31" i="3"/>
  <c r="CL31" i="3"/>
  <c r="CF31" i="3"/>
  <c r="CU32" i="3"/>
  <c r="BT31" i="3"/>
  <c r="BW31" i="3"/>
  <c r="BQ31" i="3"/>
  <c r="CI31" i="3"/>
  <c r="CC31" i="3"/>
  <c r="BZ31" i="3"/>
  <c r="BP31" i="3"/>
  <c r="CN31" i="3"/>
  <c r="BY31" i="3"/>
  <c r="CT31" i="3"/>
  <c r="CV31" i="3" s="1"/>
  <c r="CE31" i="3"/>
  <c r="BS31" i="3"/>
  <c r="CQ31" i="3"/>
  <c r="CK31" i="3"/>
  <c r="CH31" i="3"/>
  <c r="BO29" i="3"/>
  <c r="BO30" i="3"/>
  <c r="BR30" i="3"/>
  <c r="BN31" i="3"/>
  <c r="CG30" i="3"/>
  <c r="CS30" i="3"/>
  <c r="CJ30" i="3"/>
  <c r="CV30" i="3"/>
  <c r="BM31" i="3"/>
  <c r="R30" i="3"/>
  <c r="S30" i="3" s="1"/>
  <c r="AL30" i="3"/>
  <c r="AM30" i="3" s="1"/>
  <c r="BJ30" i="3"/>
  <c r="BK30" i="3" s="1"/>
  <c r="AP30" i="3"/>
  <c r="AQ30" i="3" s="1"/>
  <c r="Z30" i="3"/>
  <c r="AA30" i="3" s="1"/>
  <c r="AX30" i="3"/>
  <c r="AY30" i="3" s="1"/>
  <c r="AT30" i="3"/>
  <c r="AU30" i="3" s="1"/>
  <c r="AH30" i="3"/>
  <c r="AI30" i="3" s="1"/>
  <c r="BF30" i="3"/>
  <c r="BG30" i="3" s="1"/>
  <c r="AV31" i="3"/>
  <c r="AK31" i="3"/>
  <c r="P31" i="3"/>
  <c r="BE31" i="3"/>
  <c r="AJ31" i="3"/>
  <c r="Y31" i="3"/>
  <c r="BD31" i="3"/>
  <c r="AS31" i="3"/>
  <c r="X31" i="3"/>
  <c r="O32" i="3"/>
  <c r="DA32" i="3" s="1"/>
  <c r="AR31" i="3"/>
  <c r="AG31" i="3"/>
  <c r="BA31" i="3"/>
  <c r="AF31" i="3"/>
  <c r="U31" i="3"/>
  <c r="BI31" i="3"/>
  <c r="AN31" i="3"/>
  <c r="AC31" i="3"/>
  <c r="AZ31" i="3"/>
  <c r="T31" i="3"/>
  <c r="AW31" i="3"/>
  <c r="AO31" i="3"/>
  <c r="BH31" i="3"/>
  <c r="AB31" i="3"/>
  <c r="Q31" i="3"/>
  <c r="AD30" i="3"/>
  <c r="AE30" i="3" s="1"/>
  <c r="V30" i="3"/>
  <c r="W30" i="3" s="1"/>
  <c r="BB30" i="3"/>
  <c r="BC30" i="3" s="1"/>
  <c r="DB30" i="3" l="1"/>
  <c r="N32" i="3"/>
  <c r="CU33" i="3"/>
  <c r="CI32" i="3"/>
  <c r="CC32" i="3"/>
  <c r="CO32" i="3"/>
  <c r="CR32" i="3"/>
  <c r="CL32" i="3"/>
  <c r="CF32" i="3"/>
  <c r="BZ32" i="3"/>
  <c r="BT32" i="3"/>
  <c r="BW32" i="3"/>
  <c r="BQ32" i="3"/>
  <c r="CH32" i="3"/>
  <c r="BY32" i="3"/>
  <c r="BS32" i="3"/>
  <c r="BP32" i="3"/>
  <c r="CK32" i="3"/>
  <c r="CT32" i="3"/>
  <c r="CE32" i="3"/>
  <c r="CN32" i="3"/>
  <c r="CQ32" i="3"/>
  <c r="CY31" i="3"/>
  <c r="DB31" i="3" s="1"/>
  <c r="BN32" i="3"/>
  <c r="BR31" i="3"/>
  <c r="BM32" i="3"/>
  <c r="BU30" i="3"/>
  <c r="BO31" i="3"/>
  <c r="CM31" i="3"/>
  <c r="CP31" i="3"/>
  <c r="CJ31" i="3"/>
  <c r="CS31" i="3"/>
  <c r="CG31" i="3"/>
  <c r="CA31" i="3"/>
  <c r="Z31" i="3"/>
  <c r="AA31" i="3" s="1"/>
  <c r="BJ31" i="3"/>
  <c r="BK31" i="3" s="1"/>
  <c r="AT31" i="3"/>
  <c r="AU31" i="3" s="1"/>
  <c r="BF31" i="3"/>
  <c r="BG31" i="3" s="1"/>
  <c r="BB31" i="3"/>
  <c r="BC31" i="3" s="1"/>
  <c r="AP31" i="3"/>
  <c r="AQ31" i="3" s="1"/>
  <c r="R31" i="3"/>
  <c r="S31" i="3" s="1"/>
  <c r="AX31" i="3"/>
  <c r="AY31" i="3" s="1"/>
  <c r="AD31" i="3"/>
  <c r="AE31" i="3" s="1"/>
  <c r="BH32" i="3"/>
  <c r="AZ32" i="3"/>
  <c r="AR32" i="3"/>
  <c r="AJ32" i="3"/>
  <c r="AB32" i="3"/>
  <c r="T32" i="3"/>
  <c r="O33" i="3"/>
  <c r="DA33" i="3" s="1"/>
  <c r="BE32" i="3"/>
  <c r="AW32" i="3"/>
  <c r="AO32" i="3"/>
  <c r="AG32" i="3"/>
  <c r="Y32" i="3"/>
  <c r="Q32" i="3"/>
  <c r="AN32" i="3"/>
  <c r="BI32" i="3"/>
  <c r="AC32" i="3"/>
  <c r="AV32" i="3"/>
  <c r="AX32" i="3" s="1"/>
  <c r="AY32" i="3" s="1"/>
  <c r="P32" i="3"/>
  <c r="AK32" i="3"/>
  <c r="BD32" i="3"/>
  <c r="X32" i="3"/>
  <c r="AF32" i="3"/>
  <c r="AS32" i="3"/>
  <c r="BA32" i="3"/>
  <c r="U32" i="3"/>
  <c r="AH31" i="3"/>
  <c r="AI31" i="3" s="1"/>
  <c r="AL31" i="3"/>
  <c r="AM31" i="3" s="1"/>
  <c r="V31" i="3"/>
  <c r="W31" i="3" s="1"/>
  <c r="N33" i="3" l="1"/>
  <c r="CU34" i="3"/>
  <c r="CI33" i="3"/>
  <c r="CO33" i="3"/>
  <c r="CL33" i="3"/>
  <c r="CR33" i="3"/>
  <c r="BZ33" i="3"/>
  <c r="BT33" i="3"/>
  <c r="CC33" i="3"/>
  <c r="CF33" i="3"/>
  <c r="BQ33" i="3"/>
  <c r="BY33" i="3"/>
  <c r="CQ33" i="3"/>
  <c r="BP33" i="3"/>
  <c r="CN33" i="3"/>
  <c r="BS33" i="3"/>
  <c r="CK33" i="3"/>
  <c r="CE33" i="3"/>
  <c r="CG33" i="3" s="1"/>
  <c r="CT33" i="3"/>
  <c r="CV33" i="3" s="1"/>
  <c r="CH33" i="3"/>
  <c r="CY32" i="3"/>
  <c r="BU31" i="3"/>
  <c r="BR32" i="3"/>
  <c r="BN33" i="3"/>
  <c r="BU32" i="3"/>
  <c r="BM33" i="3"/>
  <c r="BO32" i="3"/>
  <c r="CM32" i="3"/>
  <c r="CS32" i="3"/>
  <c r="CG32" i="3"/>
  <c r="CJ32" i="3"/>
  <c r="CV32" i="3"/>
  <c r="CA32" i="3"/>
  <c r="CP32" i="3"/>
  <c r="Y33" i="3"/>
  <c r="AC33" i="3"/>
  <c r="AP32" i="3"/>
  <c r="AQ32" i="3" s="1"/>
  <c r="R32" i="3"/>
  <c r="S32" i="3" s="1"/>
  <c r="AH32" i="3"/>
  <c r="AI32" i="3" s="1"/>
  <c r="O34" i="3"/>
  <c r="DA34" i="3" s="1"/>
  <c r="AR33" i="3"/>
  <c r="AG33" i="3"/>
  <c r="BA33" i="3"/>
  <c r="AF33" i="3"/>
  <c r="U33" i="3"/>
  <c r="AZ33" i="3"/>
  <c r="AO33" i="3"/>
  <c r="T33" i="3"/>
  <c r="BI33" i="3"/>
  <c r="AN33" i="3"/>
  <c r="BH33" i="3"/>
  <c r="AW33" i="3"/>
  <c r="AB33" i="3"/>
  <c r="Q33" i="3"/>
  <c r="BE33" i="3"/>
  <c r="AJ33" i="3"/>
  <c r="AK33" i="3"/>
  <c r="X33" i="3"/>
  <c r="AS33" i="3"/>
  <c r="AV33" i="3"/>
  <c r="P33" i="3"/>
  <c r="BD33" i="3"/>
  <c r="Z32" i="3"/>
  <c r="AA32" i="3" s="1"/>
  <c r="AD32" i="3"/>
  <c r="AE32" i="3" s="1"/>
  <c r="BF32" i="3"/>
  <c r="BG32" i="3" s="1"/>
  <c r="AL32" i="3"/>
  <c r="AM32" i="3" s="1"/>
  <c r="AT32" i="3"/>
  <c r="AU32" i="3" s="1"/>
  <c r="V32" i="3"/>
  <c r="W32" i="3" s="1"/>
  <c r="BB32" i="3"/>
  <c r="BC32" i="3" s="1"/>
  <c r="BJ32" i="3"/>
  <c r="BK32" i="3" s="1"/>
  <c r="CS33" i="3" l="1"/>
  <c r="DB32" i="3"/>
  <c r="CJ33" i="3"/>
  <c r="CA33" i="3"/>
  <c r="N34" i="3"/>
  <c r="CR34" i="3"/>
  <c r="CL34" i="3"/>
  <c r="CF34" i="3"/>
  <c r="CU35" i="3"/>
  <c r="CI34" i="3"/>
  <c r="CC34" i="3"/>
  <c r="BQ34" i="3"/>
  <c r="CO34" i="3"/>
  <c r="BZ34" i="3"/>
  <c r="BT34" i="3"/>
  <c r="CN34" i="3"/>
  <c r="CE34" i="3"/>
  <c r="CQ34" i="3"/>
  <c r="BS34" i="3"/>
  <c r="CK34" i="3"/>
  <c r="BP34" i="3"/>
  <c r="CT34" i="3"/>
  <c r="CH34" i="3"/>
  <c r="BY34" i="3"/>
  <c r="BR33" i="3"/>
  <c r="BN34" i="3"/>
  <c r="BU33" i="3"/>
  <c r="BM34" i="3"/>
  <c r="CP33" i="3"/>
  <c r="CM33" i="3"/>
  <c r="R33" i="3"/>
  <c r="S33" i="3" s="1"/>
  <c r="BO33" i="3"/>
  <c r="BF33" i="3"/>
  <c r="BG33" i="3" s="1"/>
  <c r="AX33" i="3"/>
  <c r="AY33" i="3" s="1"/>
  <c r="BJ33" i="3"/>
  <c r="BK33" i="3" s="1"/>
  <c r="AD33" i="3"/>
  <c r="AE33" i="3" s="1"/>
  <c r="BB33" i="3"/>
  <c r="BC33" i="3" s="1"/>
  <c r="V33" i="3"/>
  <c r="W33" i="3" s="1"/>
  <c r="AL33" i="3"/>
  <c r="AM33" i="3" s="1"/>
  <c r="Z33" i="3"/>
  <c r="AA33" i="3" s="1"/>
  <c r="AH33" i="3"/>
  <c r="AI33" i="3" s="1"/>
  <c r="AP33" i="3"/>
  <c r="AQ33" i="3" s="1"/>
  <c r="AT33" i="3"/>
  <c r="AU33" i="3" s="1"/>
  <c r="BD34" i="3"/>
  <c r="AV34" i="3"/>
  <c r="AN34" i="3"/>
  <c r="AF34" i="3"/>
  <c r="X34" i="3"/>
  <c r="P34" i="3"/>
  <c r="BI34" i="3"/>
  <c r="BA34" i="3"/>
  <c r="AS34" i="3"/>
  <c r="AK34" i="3"/>
  <c r="AC34" i="3"/>
  <c r="U34" i="3"/>
  <c r="AJ34" i="3"/>
  <c r="BE34" i="3"/>
  <c r="Y34" i="3"/>
  <c r="AR34" i="3"/>
  <c r="O35" i="3"/>
  <c r="DA35" i="3" s="1"/>
  <c r="AG34" i="3"/>
  <c r="AZ34" i="3"/>
  <c r="T34" i="3"/>
  <c r="BH34" i="3"/>
  <c r="AB34" i="3"/>
  <c r="AO34" i="3"/>
  <c r="Q34" i="3"/>
  <c r="AW34" i="3"/>
  <c r="CA34" i="3" l="1"/>
  <c r="N35" i="3"/>
  <c r="CO35" i="3"/>
  <c r="CR35" i="3"/>
  <c r="CL35" i="3"/>
  <c r="CF35" i="3"/>
  <c r="CC35" i="3"/>
  <c r="BT35" i="3"/>
  <c r="CU36" i="3"/>
  <c r="BQ35" i="3"/>
  <c r="BZ35" i="3"/>
  <c r="CI35" i="3"/>
  <c r="BS35" i="3"/>
  <c r="CH35" i="3"/>
  <c r="BY35" i="3"/>
  <c r="CT35" i="3"/>
  <c r="CN35" i="3"/>
  <c r="CE35" i="3"/>
  <c r="BP35" i="3"/>
  <c r="CK35" i="3"/>
  <c r="CQ35" i="3"/>
  <c r="BN35" i="3"/>
  <c r="BR34" i="3"/>
  <c r="BU34" i="3"/>
  <c r="BM35" i="3"/>
  <c r="CS34" i="3"/>
  <c r="BO34" i="3"/>
  <c r="CP34" i="3"/>
  <c r="CV34" i="3"/>
  <c r="CG34" i="3"/>
  <c r="CM34" i="3"/>
  <c r="CJ34" i="3"/>
  <c r="BB34" i="3"/>
  <c r="BC34" i="3" s="1"/>
  <c r="AL34" i="3"/>
  <c r="AM34" i="3" s="1"/>
  <c r="AD34" i="3"/>
  <c r="AE34" i="3" s="1"/>
  <c r="BF34" i="3"/>
  <c r="BG34" i="3" s="1"/>
  <c r="AT34" i="3"/>
  <c r="AU34" i="3" s="1"/>
  <c r="R34" i="3"/>
  <c r="S34" i="3" s="1"/>
  <c r="BI35" i="3"/>
  <c r="BA35" i="3"/>
  <c r="AS35" i="3"/>
  <c r="AK35" i="3"/>
  <c r="AO35" i="3"/>
  <c r="AC35" i="3"/>
  <c r="O36" i="3"/>
  <c r="DA36" i="3" s="1"/>
  <c r="AZ35" i="3"/>
  <c r="AN35" i="3"/>
  <c r="AB35" i="3"/>
  <c r="AD35" i="3" s="1"/>
  <c r="AE35" i="3" s="1"/>
  <c r="Q35" i="3"/>
  <c r="P35" i="3"/>
  <c r="AW35" i="3"/>
  <c r="AJ35" i="3"/>
  <c r="Y35" i="3"/>
  <c r="BH35" i="3"/>
  <c r="AV35" i="3"/>
  <c r="X35" i="3"/>
  <c r="BE35" i="3"/>
  <c r="AR35" i="3"/>
  <c r="AF35" i="3"/>
  <c r="U35" i="3"/>
  <c r="BD35" i="3"/>
  <c r="T35" i="3"/>
  <c r="AG35" i="3"/>
  <c r="BJ34" i="3"/>
  <c r="BK34" i="3" s="1"/>
  <c r="Z34" i="3"/>
  <c r="AA34" i="3" s="1"/>
  <c r="V34" i="3"/>
  <c r="W34" i="3" s="1"/>
  <c r="AH34" i="3"/>
  <c r="AI34" i="3" s="1"/>
  <c r="AP34" i="3"/>
  <c r="AQ34" i="3" s="1"/>
  <c r="AX34" i="3"/>
  <c r="AY34" i="3" s="1"/>
  <c r="N36" i="3" l="1"/>
  <c r="CU37" i="3"/>
  <c r="CI36" i="3"/>
  <c r="CC36" i="3"/>
  <c r="CO36" i="3"/>
  <c r="CR36" i="3"/>
  <c r="CL36" i="3"/>
  <c r="CF36" i="3"/>
  <c r="BZ36" i="3"/>
  <c r="BT36" i="3"/>
  <c r="BQ36" i="3"/>
  <c r="CN36" i="3"/>
  <c r="CT36" i="3"/>
  <c r="CQ36" i="3"/>
  <c r="CH36" i="3"/>
  <c r="BS36" i="3"/>
  <c r="BP36" i="3"/>
  <c r="BY36" i="3"/>
  <c r="CE36" i="3"/>
  <c r="CK36" i="3"/>
  <c r="CM36" i="3" s="1"/>
  <c r="BN36" i="3"/>
  <c r="BR35" i="3"/>
  <c r="BU35" i="3"/>
  <c r="BM36" i="3"/>
  <c r="BO35" i="3"/>
  <c r="CM35" i="3"/>
  <c r="CS35" i="3"/>
  <c r="CJ35" i="3"/>
  <c r="CP35" i="3"/>
  <c r="CA35" i="3"/>
  <c r="CV35" i="3"/>
  <c r="CG35" i="3"/>
  <c r="BF35" i="3"/>
  <c r="BG35" i="3" s="1"/>
  <c r="AT35" i="3"/>
  <c r="AU35" i="3" s="1"/>
  <c r="AL35" i="3"/>
  <c r="AM35" i="3" s="1"/>
  <c r="BB35" i="3"/>
  <c r="BC35" i="3" s="1"/>
  <c r="V35" i="3"/>
  <c r="W35" i="3" s="1"/>
  <c r="BJ35" i="3"/>
  <c r="BK35" i="3" s="1"/>
  <c r="AH35" i="3"/>
  <c r="AI35" i="3" s="1"/>
  <c r="R35" i="3"/>
  <c r="S35" i="3" s="1"/>
  <c r="Z35" i="3"/>
  <c r="AA35" i="3" s="1"/>
  <c r="BH36" i="3"/>
  <c r="AZ36" i="3"/>
  <c r="AR36" i="3"/>
  <c r="AJ36" i="3"/>
  <c r="AB36" i="3"/>
  <c r="T36" i="3"/>
  <c r="O37" i="3"/>
  <c r="DA37" i="3" s="1"/>
  <c r="BE36" i="3"/>
  <c r="AW36" i="3"/>
  <c r="AO36" i="3"/>
  <c r="AG36" i="3"/>
  <c r="Y36" i="3"/>
  <c r="Q36" i="3"/>
  <c r="P36" i="3"/>
  <c r="AN36" i="3"/>
  <c r="AC36" i="3"/>
  <c r="BA36" i="3"/>
  <c r="X36" i="3"/>
  <c r="AV36" i="3"/>
  <c r="AK36" i="3"/>
  <c r="AF36" i="3"/>
  <c r="U36" i="3"/>
  <c r="BI36" i="3"/>
  <c r="BD36" i="3"/>
  <c r="BF36" i="3" s="1"/>
  <c r="BG36" i="3" s="1"/>
  <c r="AS36" i="3"/>
  <c r="AX35" i="3"/>
  <c r="AY35" i="3" s="1"/>
  <c r="AP35" i="3"/>
  <c r="AQ35" i="3" s="1"/>
  <c r="N37" i="3" l="1"/>
  <c r="CU38" i="3"/>
  <c r="CI37" i="3"/>
  <c r="CO37" i="3"/>
  <c r="CF37" i="3"/>
  <c r="CL37" i="3"/>
  <c r="CC37" i="3"/>
  <c r="BZ37" i="3"/>
  <c r="BT37" i="3"/>
  <c r="BQ37" i="3"/>
  <c r="CR37" i="3"/>
  <c r="CN37" i="3"/>
  <c r="BP37" i="3"/>
  <c r="CH37" i="3"/>
  <c r="CQ37" i="3"/>
  <c r="BY37" i="3"/>
  <c r="CK37" i="3"/>
  <c r="BS37" i="3"/>
  <c r="CE37" i="3"/>
  <c r="CT37" i="3"/>
  <c r="BO36" i="3"/>
  <c r="CG36" i="3"/>
  <c r="BR36" i="3"/>
  <c r="BN37" i="3"/>
  <c r="BU36" i="3"/>
  <c r="BM37" i="3"/>
  <c r="CA36" i="3"/>
  <c r="CJ36" i="3"/>
  <c r="CS36" i="3"/>
  <c r="CP36" i="3"/>
  <c r="CV36" i="3"/>
  <c r="R36" i="3"/>
  <c r="S36" i="3" s="1"/>
  <c r="Z36" i="3"/>
  <c r="AA36" i="3" s="1"/>
  <c r="BB36" i="3"/>
  <c r="BC36" i="3" s="1"/>
  <c r="AH36" i="3"/>
  <c r="AI36" i="3" s="1"/>
  <c r="AD36" i="3"/>
  <c r="AE36" i="3" s="1"/>
  <c r="AX36" i="3"/>
  <c r="AY36" i="3" s="1"/>
  <c r="AP36" i="3"/>
  <c r="AQ36" i="3" s="1"/>
  <c r="AT36" i="3"/>
  <c r="AU36" i="3" s="1"/>
  <c r="V36" i="3"/>
  <c r="W36" i="3" s="1"/>
  <c r="AL36" i="3"/>
  <c r="AM36" i="3" s="1"/>
  <c r="BJ36" i="3"/>
  <c r="BK36" i="3" s="1"/>
  <c r="O38" i="3"/>
  <c r="DA38" i="3" s="1"/>
  <c r="BE37" i="3"/>
  <c r="AW37" i="3"/>
  <c r="AO37" i="3"/>
  <c r="AG37" i="3"/>
  <c r="Y37" i="3"/>
  <c r="Q37" i="3"/>
  <c r="BD37" i="3"/>
  <c r="AR37" i="3"/>
  <c r="AC37" i="3"/>
  <c r="P37" i="3"/>
  <c r="R37" i="3" s="1"/>
  <c r="S37" i="3" s="1"/>
  <c r="BA37" i="3"/>
  <c r="AN37" i="3"/>
  <c r="AB37" i="3"/>
  <c r="AZ37" i="3"/>
  <c r="AK37" i="3"/>
  <c r="X37" i="3"/>
  <c r="BH37" i="3"/>
  <c r="U37" i="3"/>
  <c r="T37" i="3"/>
  <c r="AJ37" i="3"/>
  <c r="BI37" i="3"/>
  <c r="AF37" i="3"/>
  <c r="AV37" i="3"/>
  <c r="AS37" i="3"/>
  <c r="N38" i="3" l="1"/>
  <c r="CR38" i="3"/>
  <c r="CL38" i="3"/>
  <c r="CF38" i="3"/>
  <c r="CU39" i="3"/>
  <c r="CI38" i="3"/>
  <c r="CC38" i="3"/>
  <c r="BQ38" i="3"/>
  <c r="CO38" i="3"/>
  <c r="BZ38" i="3"/>
  <c r="BT38" i="3"/>
  <c r="CQ38" i="3"/>
  <c r="BP38" i="3"/>
  <c r="CK38" i="3"/>
  <c r="CH38" i="3"/>
  <c r="BY38" i="3"/>
  <c r="CT38" i="3"/>
  <c r="BS38" i="3"/>
  <c r="CE38" i="3"/>
  <c r="CN38" i="3"/>
  <c r="BR37" i="3"/>
  <c r="BN38" i="3"/>
  <c r="BU37" i="3"/>
  <c r="BM38" i="3"/>
  <c r="CS37" i="3"/>
  <c r="CG37" i="3"/>
  <c r="CP37" i="3"/>
  <c r="BO37" i="3"/>
  <c r="CM37" i="3"/>
  <c r="CJ37" i="3"/>
  <c r="CA37" i="3"/>
  <c r="CV37" i="3"/>
  <c r="Z37" i="3"/>
  <c r="AA37" i="3" s="1"/>
  <c r="AL37" i="3"/>
  <c r="AM37" i="3" s="1"/>
  <c r="AP37" i="3"/>
  <c r="AQ37" i="3" s="1"/>
  <c r="BJ37" i="3"/>
  <c r="BK37" i="3" s="1"/>
  <c r="AT37" i="3"/>
  <c r="AU37" i="3" s="1"/>
  <c r="AX37" i="3"/>
  <c r="AY37" i="3" s="1"/>
  <c r="V37" i="3"/>
  <c r="W37" i="3" s="1"/>
  <c r="BF37" i="3"/>
  <c r="BG37" i="3" s="1"/>
  <c r="BD38" i="3"/>
  <c r="AV38" i="3"/>
  <c r="AN38" i="3"/>
  <c r="AF38" i="3"/>
  <c r="X38" i="3"/>
  <c r="P38" i="3"/>
  <c r="BI38" i="3"/>
  <c r="BA38" i="3"/>
  <c r="AS38" i="3"/>
  <c r="AK38" i="3"/>
  <c r="AC38" i="3"/>
  <c r="U38" i="3"/>
  <c r="AR38" i="3"/>
  <c r="AG38" i="3"/>
  <c r="BE38" i="3"/>
  <c r="AB38" i="3"/>
  <c r="Q38" i="3"/>
  <c r="AZ38" i="3"/>
  <c r="AO38" i="3"/>
  <c r="O39" i="3"/>
  <c r="DA39" i="3" s="1"/>
  <c r="BH38" i="3"/>
  <c r="AW38" i="3"/>
  <c r="Y38" i="3"/>
  <c r="AJ38" i="3"/>
  <c r="T38" i="3"/>
  <c r="AH37" i="3"/>
  <c r="AI37" i="3" s="1"/>
  <c r="BB37" i="3"/>
  <c r="BC37" i="3" s="1"/>
  <c r="AD37" i="3"/>
  <c r="AE37" i="3" s="1"/>
  <c r="N39" i="3" l="1"/>
  <c r="CO39" i="3"/>
  <c r="CR39" i="3"/>
  <c r="CL39" i="3"/>
  <c r="CF39" i="3"/>
  <c r="CI39" i="3"/>
  <c r="BQ39" i="3"/>
  <c r="CU40" i="3"/>
  <c r="CC39" i="3"/>
  <c r="BZ39" i="3"/>
  <c r="BT39" i="3"/>
  <c r="CQ39" i="3"/>
  <c r="BP39" i="3"/>
  <c r="CN39" i="3"/>
  <c r="CH39" i="3"/>
  <c r="BS39" i="3"/>
  <c r="CT39" i="3"/>
  <c r="CE39" i="3"/>
  <c r="CK39" i="3"/>
  <c r="BY39" i="3"/>
  <c r="CS38" i="3"/>
  <c r="BR38" i="3"/>
  <c r="BN39" i="3"/>
  <c r="BU38" i="3"/>
  <c r="BM39" i="3"/>
  <c r="CP38" i="3"/>
  <c r="CG38" i="3"/>
  <c r="CA38" i="3"/>
  <c r="CV38" i="3"/>
  <c r="BO38" i="3"/>
  <c r="CM38" i="3"/>
  <c r="CJ38" i="3"/>
  <c r="BJ38" i="3"/>
  <c r="BK38" i="3" s="1"/>
  <c r="V38" i="3"/>
  <c r="W38" i="3" s="1"/>
  <c r="BB38" i="3"/>
  <c r="BC38" i="3" s="1"/>
  <c r="AD38" i="3"/>
  <c r="AE38" i="3" s="1"/>
  <c r="AX38" i="3"/>
  <c r="AY38" i="3" s="1"/>
  <c r="Z38" i="3"/>
  <c r="AA38" i="3" s="1"/>
  <c r="BF38" i="3"/>
  <c r="BG38" i="3" s="1"/>
  <c r="AL38" i="3"/>
  <c r="AM38" i="3" s="1"/>
  <c r="R38" i="3"/>
  <c r="S38" i="3" s="1"/>
  <c r="BI39" i="3"/>
  <c r="BA39" i="3"/>
  <c r="AS39" i="3"/>
  <c r="AK39" i="3"/>
  <c r="AC39" i="3"/>
  <c r="U39" i="3"/>
  <c r="AG39" i="3"/>
  <c r="T39" i="3"/>
  <c r="BE39" i="3"/>
  <c r="AR39" i="3"/>
  <c r="AF39" i="3"/>
  <c r="BD39" i="3"/>
  <c r="Q39" i="3"/>
  <c r="AO39" i="3"/>
  <c r="AB39" i="3"/>
  <c r="P39" i="3"/>
  <c r="O40" i="3"/>
  <c r="DA40" i="3" s="1"/>
  <c r="AZ39" i="3"/>
  <c r="BB39" i="3" s="1"/>
  <c r="BC39" i="3" s="1"/>
  <c r="AN39" i="3"/>
  <c r="AW39" i="3"/>
  <c r="AJ39" i="3"/>
  <c r="X39" i="3"/>
  <c r="Y39" i="3"/>
  <c r="BH39" i="3"/>
  <c r="AV39" i="3"/>
  <c r="AH38" i="3"/>
  <c r="AI38" i="3" s="1"/>
  <c r="AT38" i="3"/>
  <c r="AU38" i="3" s="1"/>
  <c r="AP38" i="3"/>
  <c r="AQ38" i="3" s="1"/>
  <c r="N40" i="3" l="1"/>
  <c r="CU41" i="3"/>
  <c r="CI40" i="3"/>
  <c r="CO40" i="3"/>
  <c r="CR40" i="3"/>
  <c r="CL40" i="3"/>
  <c r="CF40" i="3"/>
  <c r="BZ40" i="3"/>
  <c r="BT40" i="3"/>
  <c r="BQ40" i="3"/>
  <c r="CC40" i="3"/>
  <c r="CK40" i="3"/>
  <c r="BP40" i="3"/>
  <c r="CQ40" i="3"/>
  <c r="CE40" i="3"/>
  <c r="CH40" i="3"/>
  <c r="BY40" i="3"/>
  <c r="BS40" i="3"/>
  <c r="CT40" i="3"/>
  <c r="CV40" i="3" s="1"/>
  <c r="CN40" i="3"/>
  <c r="BN40" i="3"/>
  <c r="BU39" i="3"/>
  <c r="BM40" i="3"/>
  <c r="CS39" i="3"/>
  <c r="CJ39" i="3"/>
  <c r="CG39" i="3"/>
  <c r="BO39" i="3"/>
  <c r="CM39" i="3"/>
  <c r="CP39" i="3"/>
  <c r="CA39" i="3"/>
  <c r="CV39" i="3"/>
  <c r="AH39" i="3"/>
  <c r="AI39" i="3" s="1"/>
  <c r="AL39" i="3"/>
  <c r="AM39" i="3" s="1"/>
  <c r="Z39" i="3"/>
  <c r="AA39" i="3" s="1"/>
  <c r="AT39" i="3"/>
  <c r="AU39" i="3" s="1"/>
  <c r="BJ39" i="3"/>
  <c r="BK39" i="3" s="1"/>
  <c r="BF39" i="3"/>
  <c r="BG39" i="3" s="1"/>
  <c r="AP39" i="3"/>
  <c r="AQ39" i="3" s="1"/>
  <c r="AX39" i="3"/>
  <c r="AY39" i="3" s="1"/>
  <c r="BH40" i="3"/>
  <c r="AZ40" i="3"/>
  <c r="AR40" i="3"/>
  <c r="AJ40" i="3"/>
  <c r="AB40" i="3"/>
  <c r="T40" i="3"/>
  <c r="O41" i="3"/>
  <c r="DA41" i="3" s="1"/>
  <c r="BE40" i="3"/>
  <c r="AW40" i="3"/>
  <c r="AO40" i="3"/>
  <c r="AG40" i="3"/>
  <c r="Y40" i="3"/>
  <c r="Q40" i="3"/>
  <c r="BI40" i="3"/>
  <c r="AF40" i="3"/>
  <c r="AH40" i="3" s="1"/>
  <c r="AI40" i="3" s="1"/>
  <c r="U40" i="3"/>
  <c r="BD40" i="3"/>
  <c r="AS40" i="3"/>
  <c r="P40" i="3"/>
  <c r="AN40" i="3"/>
  <c r="AC40" i="3"/>
  <c r="X40" i="3"/>
  <c r="AK40" i="3"/>
  <c r="BA40" i="3"/>
  <c r="AV40" i="3"/>
  <c r="AX40" i="3" s="1"/>
  <c r="AY40" i="3" s="1"/>
  <c r="R39" i="3"/>
  <c r="S39" i="3" s="1"/>
  <c r="V39" i="3"/>
  <c r="W39" i="3" s="1"/>
  <c r="AD39" i="3"/>
  <c r="AE39" i="3" s="1"/>
  <c r="CS40" i="3" l="1"/>
  <c r="N41" i="3"/>
  <c r="CU42" i="3"/>
  <c r="CI41" i="3"/>
  <c r="CO41" i="3"/>
  <c r="CC41" i="3"/>
  <c r="CF41" i="3"/>
  <c r="BZ41" i="3"/>
  <c r="BT41" i="3"/>
  <c r="CR41" i="3"/>
  <c r="CL41" i="3"/>
  <c r="BQ41" i="3"/>
  <c r="CE41" i="3"/>
  <c r="CK41" i="3"/>
  <c r="CH41" i="3"/>
  <c r="CQ41" i="3"/>
  <c r="BP41" i="3"/>
  <c r="CT41" i="3"/>
  <c r="BS41" i="3"/>
  <c r="CN41" i="3"/>
  <c r="BY41" i="3"/>
  <c r="BR39" i="3"/>
  <c r="BN41" i="3"/>
  <c r="BU40" i="3"/>
  <c r="BM41" i="3"/>
  <c r="CG40" i="3"/>
  <c r="BO40" i="3"/>
  <c r="CJ40" i="3"/>
  <c r="CM40" i="3"/>
  <c r="CP40" i="3"/>
  <c r="CA40" i="3"/>
  <c r="BF40" i="3"/>
  <c r="BG40" i="3" s="1"/>
  <c r="BJ40" i="3"/>
  <c r="BK40" i="3" s="1"/>
  <c r="AP40" i="3"/>
  <c r="AQ40" i="3" s="1"/>
  <c r="Z40" i="3"/>
  <c r="AA40" i="3" s="1"/>
  <c r="R40" i="3"/>
  <c r="S40" i="3" s="1"/>
  <c r="O42" i="3"/>
  <c r="DA42" i="3" s="1"/>
  <c r="BE41" i="3"/>
  <c r="AW41" i="3"/>
  <c r="AO41" i="3"/>
  <c r="AG41" i="3"/>
  <c r="Y41" i="3"/>
  <c r="Q41" i="3"/>
  <c r="BI41" i="3"/>
  <c r="AV41" i="3"/>
  <c r="AJ41" i="3"/>
  <c r="BH41" i="3"/>
  <c r="U41" i="3"/>
  <c r="AS41" i="3"/>
  <c r="AF41" i="3"/>
  <c r="T41" i="3"/>
  <c r="BD41" i="3"/>
  <c r="AR41" i="3"/>
  <c r="AC41" i="3"/>
  <c r="P41" i="3"/>
  <c r="AZ41" i="3"/>
  <c r="AB41" i="3"/>
  <c r="X41" i="3"/>
  <c r="Z41" i="3" s="1"/>
  <c r="AA41" i="3" s="1"/>
  <c r="AN41" i="3"/>
  <c r="AK41" i="3"/>
  <c r="BA41" i="3"/>
  <c r="V40" i="3"/>
  <c r="W40" i="3" s="1"/>
  <c r="AD40" i="3"/>
  <c r="AE40" i="3" s="1"/>
  <c r="AL40" i="3"/>
  <c r="AM40" i="3" s="1"/>
  <c r="AT40" i="3"/>
  <c r="AU40" i="3" s="1"/>
  <c r="BB40" i="3"/>
  <c r="BC40" i="3" s="1"/>
  <c r="N42" i="3" l="1"/>
  <c r="CR42" i="3"/>
  <c r="CL42" i="3"/>
  <c r="CF42" i="3"/>
  <c r="CU43" i="3"/>
  <c r="CI42" i="3"/>
  <c r="CO42" i="3"/>
  <c r="BQ42" i="3"/>
  <c r="CC42" i="3"/>
  <c r="BZ42" i="3"/>
  <c r="BT42" i="3"/>
  <c r="BS42" i="3"/>
  <c r="CQ42" i="3"/>
  <c r="CN42" i="3"/>
  <c r="CT42" i="3"/>
  <c r="CV42" i="3" s="1"/>
  <c r="CH42" i="3"/>
  <c r="BY42" i="3"/>
  <c r="CE42" i="3"/>
  <c r="CK42" i="3"/>
  <c r="BP42" i="3"/>
  <c r="BR40" i="3"/>
  <c r="BN42" i="3"/>
  <c r="BR41" i="3"/>
  <c r="BU41" i="3"/>
  <c r="BM42" i="3"/>
  <c r="CM41" i="3"/>
  <c r="CS41" i="3"/>
  <c r="CJ41" i="3"/>
  <c r="CV41" i="3"/>
  <c r="BO41" i="3"/>
  <c r="CA41" i="3"/>
  <c r="CG41" i="3"/>
  <c r="CP41" i="3"/>
  <c r="R41" i="3"/>
  <c r="S41" i="3" s="1"/>
  <c r="BF41" i="3"/>
  <c r="BG41" i="3" s="1"/>
  <c r="AD41" i="3"/>
  <c r="AE41" i="3" s="1"/>
  <c r="AX41" i="3"/>
  <c r="AY41" i="3" s="1"/>
  <c r="AH41" i="3"/>
  <c r="AI41" i="3" s="1"/>
  <c r="BB41" i="3"/>
  <c r="BC41" i="3" s="1"/>
  <c r="BJ41" i="3"/>
  <c r="BK41" i="3" s="1"/>
  <c r="AL41" i="3"/>
  <c r="AM41" i="3" s="1"/>
  <c r="AT41" i="3"/>
  <c r="AU41" i="3" s="1"/>
  <c r="AV42" i="3"/>
  <c r="AK42" i="3"/>
  <c r="Q42" i="3"/>
  <c r="BE42" i="3"/>
  <c r="AJ42" i="3"/>
  <c r="Y42" i="3"/>
  <c r="P42" i="3"/>
  <c r="R42" i="3" s="1"/>
  <c r="S42" i="3" s="1"/>
  <c r="O43" i="3"/>
  <c r="DA43" i="3" s="1"/>
  <c r="AR42" i="3"/>
  <c r="AG42" i="3"/>
  <c r="BI42" i="3"/>
  <c r="AB42" i="3"/>
  <c r="BH42" i="3"/>
  <c r="AO42" i="3"/>
  <c r="X42" i="3"/>
  <c r="BD42" i="3"/>
  <c r="AN42" i="3"/>
  <c r="U42" i="3"/>
  <c r="BA42" i="3"/>
  <c r="T42" i="3"/>
  <c r="AZ42" i="3"/>
  <c r="AW42" i="3"/>
  <c r="AF42" i="3"/>
  <c r="AS42" i="3"/>
  <c r="AC42" i="3"/>
  <c r="AP41" i="3"/>
  <c r="AQ41" i="3" s="1"/>
  <c r="V41" i="3"/>
  <c r="W41" i="3" s="1"/>
  <c r="N43" i="3" l="1"/>
  <c r="CO43" i="3"/>
  <c r="CR43" i="3"/>
  <c r="CL43" i="3"/>
  <c r="CF43" i="3"/>
  <c r="CI43" i="3"/>
  <c r="BQ43" i="3"/>
  <c r="CU44" i="3"/>
  <c r="BZ43" i="3"/>
  <c r="BT43" i="3"/>
  <c r="CC43" i="3"/>
  <c r="BP43" i="3"/>
  <c r="CT43" i="3"/>
  <c r="BY43" i="3"/>
  <c r="CQ43" i="3"/>
  <c r="BS43" i="3"/>
  <c r="CH43" i="3"/>
  <c r="CE43" i="3"/>
  <c r="CN43" i="3"/>
  <c r="CK43" i="3"/>
  <c r="BN43" i="3"/>
  <c r="BN78" i="3" s="1"/>
  <c r="BU42" i="3"/>
  <c r="BM43" i="3"/>
  <c r="CA42" i="3"/>
  <c r="CJ42" i="3"/>
  <c r="CS42" i="3"/>
  <c r="BQ78" i="3"/>
  <c r="BO42" i="3"/>
  <c r="CG42" i="3"/>
  <c r="CP42" i="3"/>
  <c r="CM42" i="3"/>
  <c r="AH42" i="3"/>
  <c r="AI42" i="3" s="1"/>
  <c r="V42" i="3"/>
  <c r="W42" i="3" s="1"/>
  <c r="BB42" i="3"/>
  <c r="BC42" i="3" s="1"/>
  <c r="BJ42" i="3"/>
  <c r="BK42" i="3" s="1"/>
  <c r="AL42" i="3"/>
  <c r="AM42" i="3" s="1"/>
  <c r="AD42" i="3"/>
  <c r="AE42" i="3" s="1"/>
  <c r="AP42" i="3"/>
  <c r="AQ42" i="3" s="1"/>
  <c r="AT42" i="3"/>
  <c r="AU42" i="3" s="1"/>
  <c r="AX42" i="3"/>
  <c r="AY42" i="3" s="1"/>
  <c r="BF42" i="3"/>
  <c r="BG42" i="3" s="1"/>
  <c r="BI43" i="3"/>
  <c r="BA43" i="3"/>
  <c r="AS43" i="3"/>
  <c r="AK43" i="3"/>
  <c r="AC43" i="3"/>
  <c r="U43" i="3"/>
  <c r="O44" i="3"/>
  <c r="DA44" i="3" s="1"/>
  <c r="BE43" i="3"/>
  <c r="AW43" i="3"/>
  <c r="AO43" i="3"/>
  <c r="AG43" i="3"/>
  <c r="Y43" i="3"/>
  <c r="Q43" i="3"/>
  <c r="AN43" i="3"/>
  <c r="AB43" i="3"/>
  <c r="X43" i="3"/>
  <c r="AR43" i="3"/>
  <c r="BH43" i="3"/>
  <c r="AJ43" i="3"/>
  <c r="T43" i="3"/>
  <c r="AZ43" i="3"/>
  <c r="AF43" i="3"/>
  <c r="BD43" i="3"/>
  <c r="AV43" i="3"/>
  <c r="P43" i="3"/>
  <c r="Z42" i="3"/>
  <c r="AA42" i="3" s="1"/>
  <c r="BR43" i="3" l="1"/>
  <c r="CJ43" i="3"/>
  <c r="N44" i="3"/>
  <c r="CU45" i="3"/>
  <c r="CI44" i="3"/>
  <c r="CO44" i="3"/>
  <c r="CR44" i="3"/>
  <c r="CL44" i="3"/>
  <c r="CF44" i="3"/>
  <c r="BZ44" i="3"/>
  <c r="BT44" i="3"/>
  <c r="CC44" i="3"/>
  <c r="CK44" i="3"/>
  <c r="CE44" i="3"/>
  <c r="CN44" i="3"/>
  <c r="CQ44" i="3"/>
  <c r="BS44" i="3"/>
  <c r="CH44" i="3"/>
  <c r="CT44" i="3"/>
  <c r="BY44" i="3"/>
  <c r="BU43" i="3"/>
  <c r="BO43" i="3"/>
  <c r="BM78" i="3"/>
  <c r="BR42" i="3"/>
  <c r="BP78" i="3"/>
  <c r="CM43" i="3"/>
  <c r="CS43" i="3"/>
  <c r="CV43" i="3"/>
  <c r="CA43" i="3"/>
  <c r="CG43" i="3"/>
  <c r="CP43" i="3"/>
  <c r="AP43" i="3"/>
  <c r="AQ43" i="3" s="1"/>
  <c r="BF43" i="3"/>
  <c r="BG43" i="3" s="1"/>
  <c r="BJ43" i="3"/>
  <c r="BK43" i="3" s="1"/>
  <c r="AT43" i="3"/>
  <c r="AU43" i="3" s="1"/>
  <c r="AH43" i="3"/>
  <c r="AI43" i="3" s="1"/>
  <c r="BB43" i="3"/>
  <c r="BC43" i="3" s="1"/>
  <c r="AX43" i="3"/>
  <c r="AY43" i="3" s="1"/>
  <c r="AL43" i="3"/>
  <c r="AM43" i="3" s="1"/>
  <c r="R43" i="3"/>
  <c r="S43" i="3" s="1"/>
  <c r="Z43" i="3"/>
  <c r="AA43" i="3" s="1"/>
  <c r="V43" i="3"/>
  <c r="W43" i="3" s="1"/>
  <c r="AD43" i="3"/>
  <c r="AE43" i="3" s="1"/>
  <c r="O45" i="3"/>
  <c r="DA45" i="3" s="1"/>
  <c r="BE44" i="3"/>
  <c r="AW44" i="3"/>
  <c r="AO44" i="3"/>
  <c r="AG44" i="3"/>
  <c r="Y44" i="3"/>
  <c r="BI44" i="3"/>
  <c r="AS44" i="3"/>
  <c r="AC44" i="3"/>
  <c r="BD44" i="3"/>
  <c r="AN44" i="3"/>
  <c r="AK44" i="3"/>
  <c r="BH44" i="3"/>
  <c r="AJ44" i="3"/>
  <c r="AF44" i="3"/>
  <c r="BA44" i="3"/>
  <c r="AB44" i="3"/>
  <c r="AV44" i="3"/>
  <c r="X44" i="3"/>
  <c r="AZ44" i="3"/>
  <c r="AR44" i="3"/>
  <c r="BJ44" i="3" l="1"/>
  <c r="BK44" i="3" s="1"/>
  <c r="N45" i="3"/>
  <c r="CU46" i="3"/>
  <c r="CI45" i="3"/>
  <c r="CO45" i="3"/>
  <c r="CR45" i="3"/>
  <c r="CC45" i="3"/>
  <c r="BT45" i="3"/>
  <c r="BT78" i="3" s="1"/>
  <c r="BZ45" i="3"/>
  <c r="CL45" i="3"/>
  <c r="CF45" i="3"/>
  <c r="BS45" i="3"/>
  <c r="BU45" i="3" s="1"/>
  <c r="CH45" i="3"/>
  <c r="CQ45" i="3"/>
  <c r="CS45" i="3" s="1"/>
  <c r="CK45" i="3"/>
  <c r="CT45" i="3"/>
  <c r="CN45" i="3"/>
  <c r="BY45" i="3"/>
  <c r="CE45" i="3"/>
  <c r="CP44" i="3"/>
  <c r="CG44" i="3"/>
  <c r="AT44" i="3"/>
  <c r="AU44" i="3" s="1"/>
  <c r="CM44" i="3"/>
  <c r="CJ44" i="3"/>
  <c r="CS44" i="3"/>
  <c r="Z44" i="3"/>
  <c r="AA44" i="3" s="1"/>
  <c r="CA44" i="3"/>
  <c r="CV44" i="3"/>
  <c r="Q78" i="3"/>
  <c r="U78" i="3"/>
  <c r="BB44" i="3"/>
  <c r="BC44" i="3" s="1"/>
  <c r="AD44" i="3"/>
  <c r="AE44" i="3" s="1"/>
  <c r="BF44" i="3"/>
  <c r="BG44" i="3" s="1"/>
  <c r="AX44" i="3"/>
  <c r="AY44" i="3" s="1"/>
  <c r="AP44" i="3"/>
  <c r="AQ44" i="3" s="1"/>
  <c r="AH44" i="3"/>
  <c r="AI44" i="3" s="1"/>
  <c r="AL44" i="3"/>
  <c r="AM44" i="3" s="1"/>
  <c r="O46" i="3"/>
  <c r="DA46" i="3" s="1"/>
  <c r="BE45" i="3"/>
  <c r="AW45" i="3"/>
  <c r="AO45" i="3"/>
  <c r="AG45" i="3"/>
  <c r="Y45" i="3"/>
  <c r="Y78" i="3" s="1"/>
  <c r="BD45" i="3"/>
  <c r="AV45" i="3"/>
  <c r="AN45" i="3"/>
  <c r="AF45" i="3"/>
  <c r="X45" i="3"/>
  <c r="BI45" i="3"/>
  <c r="BA45" i="3"/>
  <c r="AS45" i="3"/>
  <c r="AK45" i="3"/>
  <c r="AC45" i="3"/>
  <c r="AC78" i="3" s="1"/>
  <c r="AZ45" i="3"/>
  <c r="AJ45" i="3"/>
  <c r="AR45" i="3"/>
  <c r="BH45" i="3"/>
  <c r="BJ45" i="3" s="1"/>
  <c r="BK45" i="3" s="1"/>
  <c r="AB45" i="3"/>
  <c r="N46" i="3" l="1"/>
  <c r="CR46" i="3"/>
  <c r="CL46" i="3"/>
  <c r="CF46" i="3"/>
  <c r="CU47" i="3"/>
  <c r="CI46" i="3"/>
  <c r="CO46" i="3"/>
  <c r="BZ46" i="3"/>
  <c r="CK46" i="3"/>
  <c r="CN46" i="3"/>
  <c r="CT46" i="3"/>
  <c r="CQ46" i="3"/>
  <c r="CH46" i="3"/>
  <c r="CJ46" i="3" s="1"/>
  <c r="BY46" i="3"/>
  <c r="CE46" i="3"/>
  <c r="BS78" i="3"/>
  <c r="BU44" i="3"/>
  <c r="CJ45" i="3"/>
  <c r="CP45" i="3"/>
  <c r="CA45" i="3"/>
  <c r="CG45" i="3"/>
  <c r="CV45" i="3"/>
  <c r="CM45" i="3"/>
  <c r="T78" i="3"/>
  <c r="W78" i="3"/>
  <c r="C17" i="3" s="1"/>
  <c r="P78" i="3"/>
  <c r="S78" i="3"/>
  <c r="B17" i="3" s="1"/>
  <c r="Q13" i="7" s="1"/>
  <c r="AL45" i="3"/>
  <c r="AM45" i="3" s="1"/>
  <c r="BB45" i="3"/>
  <c r="BC45" i="3" s="1"/>
  <c r="AH45" i="3"/>
  <c r="AI45" i="3" s="1"/>
  <c r="AX45" i="3"/>
  <c r="AY45" i="3" s="1"/>
  <c r="AP45" i="3"/>
  <c r="AQ45" i="3" s="1"/>
  <c r="AT45" i="3"/>
  <c r="AU45" i="3" s="1"/>
  <c r="BF45" i="3"/>
  <c r="BG45" i="3" s="1"/>
  <c r="BI46" i="3"/>
  <c r="BA46" i="3"/>
  <c r="AS46" i="3"/>
  <c r="AK46" i="3"/>
  <c r="AZ46" i="3"/>
  <c r="AJ46" i="3"/>
  <c r="O47" i="3"/>
  <c r="DA47" i="3" s="1"/>
  <c r="AW46" i="3"/>
  <c r="AG46" i="3"/>
  <c r="BH46" i="3"/>
  <c r="AR46" i="3"/>
  <c r="AT46" i="3" s="1"/>
  <c r="AU46" i="3" s="1"/>
  <c r="BE46" i="3"/>
  <c r="BD46" i="3"/>
  <c r="AV46" i="3"/>
  <c r="AO46" i="3"/>
  <c r="AF46" i="3"/>
  <c r="AN46" i="3"/>
  <c r="AD45" i="3"/>
  <c r="AE45" i="3" s="1"/>
  <c r="AE78" i="3" s="1"/>
  <c r="E17" i="3" s="1"/>
  <c r="Q25" i="7" s="1"/>
  <c r="AB78" i="3"/>
  <c r="Z45" i="3"/>
  <c r="AA45" i="3" s="1"/>
  <c r="X78" i="3"/>
  <c r="D10" i="7" l="1"/>
  <c r="D14" i="7"/>
  <c r="D18" i="7"/>
  <c r="D19" i="7"/>
  <c r="D11" i="7"/>
  <c r="D15" i="7"/>
  <c r="D8" i="7"/>
  <c r="D12" i="7"/>
  <c r="D16" i="7"/>
  <c r="D7" i="7"/>
  <c r="D9" i="7"/>
  <c r="D13" i="7"/>
  <c r="D17" i="7"/>
  <c r="Q31" i="7"/>
  <c r="AA78" i="3"/>
  <c r="D17" i="3" s="1"/>
  <c r="N47" i="3"/>
  <c r="CO47" i="3"/>
  <c r="CR47" i="3"/>
  <c r="CL47" i="3"/>
  <c r="CF47" i="3"/>
  <c r="CU48" i="3"/>
  <c r="CI47" i="3"/>
  <c r="BZ47" i="3"/>
  <c r="CH47" i="3"/>
  <c r="BY47" i="3"/>
  <c r="CN47" i="3"/>
  <c r="CK47" i="3"/>
  <c r="CT47" i="3"/>
  <c r="CE47" i="3"/>
  <c r="CQ47" i="3"/>
  <c r="CV46" i="3"/>
  <c r="CS46" i="3"/>
  <c r="CG46" i="3"/>
  <c r="CA46" i="3"/>
  <c r="CP46" i="3"/>
  <c r="CM46" i="3"/>
  <c r="BB46" i="3"/>
  <c r="BC46" i="3" s="1"/>
  <c r="AP46" i="3"/>
  <c r="AQ46" i="3" s="1"/>
  <c r="BF46" i="3"/>
  <c r="BG46" i="3" s="1"/>
  <c r="AX46" i="3"/>
  <c r="AY46" i="3" s="1"/>
  <c r="BJ46" i="3"/>
  <c r="BK46" i="3" s="1"/>
  <c r="AH46" i="3"/>
  <c r="AI46" i="3" s="1"/>
  <c r="BI47" i="3"/>
  <c r="BA47" i="3"/>
  <c r="AS47" i="3"/>
  <c r="AK47" i="3"/>
  <c r="BH47" i="3"/>
  <c r="BJ47" i="3" s="1"/>
  <c r="BK47" i="3" s="1"/>
  <c r="AZ47" i="3"/>
  <c r="AR47" i="3"/>
  <c r="AJ47" i="3"/>
  <c r="O48" i="3"/>
  <c r="DA48" i="3" s="1"/>
  <c r="BE47" i="3"/>
  <c r="AW47" i="3"/>
  <c r="AO47" i="3"/>
  <c r="AG47" i="3"/>
  <c r="AV47" i="3"/>
  <c r="AF47" i="3"/>
  <c r="AN47" i="3"/>
  <c r="BD47" i="3"/>
  <c r="AL46" i="3"/>
  <c r="AM46" i="3" s="1"/>
  <c r="D27" i="7" l="1"/>
  <c r="D32" i="7"/>
  <c r="D28" i="7"/>
  <c r="D25" i="7"/>
  <c r="D29" i="7"/>
  <c r="D26" i="7"/>
  <c r="D31" i="7"/>
  <c r="Q7" i="7"/>
  <c r="N48" i="3"/>
  <c r="CU49" i="3"/>
  <c r="CI48" i="3"/>
  <c r="CO48" i="3"/>
  <c r="CR48" i="3"/>
  <c r="CL48" i="3"/>
  <c r="CF48" i="3"/>
  <c r="BZ48" i="3"/>
  <c r="CN48" i="3"/>
  <c r="CQ48" i="3"/>
  <c r="CE48" i="3"/>
  <c r="CT48" i="3"/>
  <c r="CH48" i="3"/>
  <c r="BY48" i="3"/>
  <c r="CK48" i="3"/>
  <c r="F26" i="7"/>
  <c r="F30" i="7"/>
  <c r="F27" i="7"/>
  <c r="F31" i="7"/>
  <c r="F28" i="7"/>
  <c r="F32" i="7"/>
  <c r="F29" i="7"/>
  <c r="F25" i="7"/>
  <c r="CJ47" i="3"/>
  <c r="CG47" i="3"/>
  <c r="CV47" i="3"/>
  <c r="CM47" i="3"/>
  <c r="CS47" i="3"/>
  <c r="CP47" i="3"/>
  <c r="CA47" i="3"/>
  <c r="BB47" i="3"/>
  <c r="BC47" i="3" s="1"/>
  <c r="BF47" i="3"/>
  <c r="BG47" i="3" s="1"/>
  <c r="O49" i="3"/>
  <c r="DA49" i="3" s="1"/>
  <c r="BE48" i="3"/>
  <c r="AW48" i="3"/>
  <c r="AO48" i="3"/>
  <c r="AG48" i="3"/>
  <c r="AV48" i="3"/>
  <c r="AF48" i="3"/>
  <c r="BI48" i="3"/>
  <c r="AS48" i="3"/>
  <c r="BD48" i="3"/>
  <c r="BF48" i="3" s="1"/>
  <c r="BG48" i="3" s="1"/>
  <c r="AN48" i="3"/>
  <c r="BA48" i="3"/>
  <c r="AZ48" i="3"/>
  <c r="AR48" i="3"/>
  <c r="AK48" i="3"/>
  <c r="BH48" i="3"/>
  <c r="BJ48" i="3" s="1"/>
  <c r="BK48" i="3" s="1"/>
  <c r="AJ48" i="3"/>
  <c r="AP47" i="3"/>
  <c r="AQ47" i="3" s="1"/>
  <c r="AL47" i="3"/>
  <c r="AM47" i="3" s="1"/>
  <c r="AH47" i="3"/>
  <c r="AI47" i="3" s="1"/>
  <c r="AT47" i="3"/>
  <c r="AU47" i="3" s="1"/>
  <c r="AX47" i="3"/>
  <c r="AY47" i="3" s="1"/>
  <c r="F9" i="7" l="1"/>
  <c r="F13" i="7"/>
  <c r="F17" i="7"/>
  <c r="F11" i="7"/>
  <c r="F15" i="7"/>
  <c r="F8" i="7"/>
  <c r="F16" i="7"/>
  <c r="F10" i="7"/>
  <c r="F14" i="7"/>
  <c r="F18" i="7"/>
  <c r="F7" i="7"/>
  <c r="F19" i="7"/>
  <c r="F12" i="7"/>
  <c r="N49" i="3"/>
  <c r="CU50" i="3"/>
  <c r="CI49" i="3"/>
  <c r="CO49" i="3"/>
  <c r="CL49" i="3"/>
  <c r="CR49" i="3"/>
  <c r="BZ49" i="3"/>
  <c r="CF49" i="3"/>
  <c r="CN49" i="3"/>
  <c r="CE49" i="3"/>
  <c r="CT49" i="3"/>
  <c r="CV49" i="3" s="1"/>
  <c r="CK49" i="3"/>
  <c r="CH49" i="3"/>
  <c r="BY49" i="3"/>
  <c r="CQ49" i="3"/>
  <c r="D20" i="7"/>
  <c r="CJ48" i="3"/>
  <c r="BB48" i="3"/>
  <c r="BC48" i="3" s="1"/>
  <c r="CG48" i="3"/>
  <c r="CV48" i="3"/>
  <c r="CS48" i="3"/>
  <c r="CP48" i="3"/>
  <c r="CM48" i="3"/>
  <c r="CA48" i="3"/>
  <c r="D33" i="7"/>
  <c r="AP48" i="3"/>
  <c r="AQ48" i="3" s="1"/>
  <c r="AH48" i="3"/>
  <c r="AI48" i="3" s="1"/>
  <c r="AX48" i="3"/>
  <c r="AY48" i="3" s="1"/>
  <c r="AL48" i="3"/>
  <c r="AM48" i="3" s="1"/>
  <c r="O50" i="3"/>
  <c r="DA50" i="3" s="1"/>
  <c r="BE49" i="3"/>
  <c r="AW49" i="3"/>
  <c r="AO49" i="3"/>
  <c r="AG49" i="3"/>
  <c r="BD49" i="3"/>
  <c r="BF49" i="3" s="1"/>
  <c r="BG49" i="3" s="1"/>
  <c r="AV49" i="3"/>
  <c r="AN49" i="3"/>
  <c r="AP49" i="3" s="1"/>
  <c r="AQ49" i="3" s="1"/>
  <c r="AF49" i="3"/>
  <c r="BI49" i="3"/>
  <c r="BA49" i="3"/>
  <c r="AS49" i="3"/>
  <c r="AK49" i="3"/>
  <c r="BH49" i="3"/>
  <c r="BJ49" i="3" s="1"/>
  <c r="BK49" i="3" s="1"/>
  <c r="AR49" i="3"/>
  <c r="AJ49" i="3"/>
  <c r="AZ49" i="3"/>
  <c r="AT48" i="3"/>
  <c r="AU48" i="3" s="1"/>
  <c r="CJ49" i="3" l="1"/>
  <c r="N50" i="3"/>
  <c r="CR50" i="3"/>
  <c r="CL50" i="3"/>
  <c r="CF50" i="3"/>
  <c r="CU51" i="3"/>
  <c r="CI50" i="3"/>
  <c r="CO50" i="3"/>
  <c r="BZ50" i="3"/>
  <c r="CH50" i="3"/>
  <c r="BY50" i="3"/>
  <c r="CE50" i="3"/>
  <c r="CQ50" i="3"/>
  <c r="CT50" i="3"/>
  <c r="CV50" i="3" s="1"/>
  <c r="CK50" i="3"/>
  <c r="CN50" i="3"/>
  <c r="CM49" i="3"/>
  <c r="CG49" i="3"/>
  <c r="CS49" i="3"/>
  <c r="CA49" i="3"/>
  <c r="CP49" i="3"/>
  <c r="AX49" i="3"/>
  <c r="AY49" i="3" s="1"/>
  <c r="BB49" i="3"/>
  <c r="BC49" i="3" s="1"/>
  <c r="AH49" i="3"/>
  <c r="AI49" i="3" s="1"/>
  <c r="AT49" i="3"/>
  <c r="AU49" i="3" s="1"/>
  <c r="AL49" i="3"/>
  <c r="AM49" i="3" s="1"/>
  <c r="BI50" i="3"/>
  <c r="BA50" i="3"/>
  <c r="AS50" i="3"/>
  <c r="AK50" i="3"/>
  <c r="BH50" i="3"/>
  <c r="AR50" i="3"/>
  <c r="BE50" i="3"/>
  <c r="AO50" i="3"/>
  <c r="AZ50" i="3"/>
  <c r="AJ50" i="3"/>
  <c r="AW50" i="3"/>
  <c r="AV50" i="3"/>
  <c r="AN50" i="3"/>
  <c r="O51" i="3"/>
  <c r="DA51" i="3" s="1"/>
  <c r="AG50" i="3"/>
  <c r="BD50" i="3"/>
  <c r="AF50" i="3"/>
  <c r="CJ50" i="3" l="1"/>
  <c r="N51" i="3"/>
  <c r="CO51" i="3"/>
  <c r="CR51" i="3"/>
  <c r="CL51" i="3"/>
  <c r="CF51" i="3"/>
  <c r="BZ51" i="3"/>
  <c r="CU52" i="3"/>
  <c r="CI51" i="3"/>
  <c r="CN51" i="3"/>
  <c r="CH51" i="3"/>
  <c r="BY51" i="3"/>
  <c r="CK51" i="3"/>
  <c r="CQ51" i="3"/>
  <c r="CE51" i="3"/>
  <c r="CT51" i="3"/>
  <c r="CV51" i="3" s="1"/>
  <c r="CG50" i="3"/>
  <c r="CS50" i="3"/>
  <c r="CM50" i="3"/>
  <c r="CA50" i="3"/>
  <c r="CP50" i="3"/>
  <c r="AL50" i="3"/>
  <c r="AM50" i="3" s="1"/>
  <c r="AT50" i="3"/>
  <c r="AU50" i="3" s="1"/>
  <c r="BJ50" i="3"/>
  <c r="BK50" i="3" s="1"/>
  <c r="AH50" i="3"/>
  <c r="AI50" i="3" s="1"/>
  <c r="BF50" i="3"/>
  <c r="BG50" i="3" s="1"/>
  <c r="AX50" i="3"/>
  <c r="AY50" i="3" s="1"/>
  <c r="BI51" i="3"/>
  <c r="BA51" i="3"/>
  <c r="AS51" i="3"/>
  <c r="AK51" i="3"/>
  <c r="BH51" i="3"/>
  <c r="AZ51" i="3"/>
  <c r="AR51" i="3"/>
  <c r="AT51" i="3" s="1"/>
  <c r="AU51" i="3" s="1"/>
  <c r="AJ51" i="3"/>
  <c r="AL51" i="3" s="1"/>
  <c r="AM51" i="3" s="1"/>
  <c r="O52" i="3"/>
  <c r="DA52" i="3" s="1"/>
  <c r="BE51" i="3"/>
  <c r="AW51" i="3"/>
  <c r="AO51" i="3"/>
  <c r="AG51" i="3"/>
  <c r="BD51" i="3"/>
  <c r="AN51" i="3"/>
  <c r="AF51" i="3"/>
  <c r="AV51" i="3"/>
  <c r="AP50" i="3"/>
  <c r="AQ50" i="3" s="1"/>
  <c r="BB50" i="3"/>
  <c r="BC50" i="3" s="1"/>
  <c r="CJ51" i="3" l="1"/>
  <c r="N52" i="3"/>
  <c r="CU53" i="3"/>
  <c r="CI52" i="3"/>
  <c r="CO52" i="3"/>
  <c r="CR52" i="3"/>
  <c r="CL52" i="3"/>
  <c r="CF52" i="3"/>
  <c r="BZ52" i="3"/>
  <c r="CT52" i="3"/>
  <c r="CV52" i="3" s="1"/>
  <c r="CH52" i="3"/>
  <c r="CE52" i="3"/>
  <c r="CK52" i="3"/>
  <c r="CQ52" i="3"/>
  <c r="CN52" i="3"/>
  <c r="BY52" i="3"/>
  <c r="CG51" i="3"/>
  <c r="CA51" i="3"/>
  <c r="CS51" i="3"/>
  <c r="CP51" i="3"/>
  <c r="CM51" i="3"/>
  <c r="BF51" i="3"/>
  <c r="BG51" i="3" s="1"/>
  <c r="BB51" i="3"/>
  <c r="BC51" i="3" s="1"/>
  <c r="BJ51" i="3"/>
  <c r="BK51" i="3" s="1"/>
  <c r="AP51" i="3"/>
  <c r="AQ51" i="3" s="1"/>
  <c r="AX51" i="3"/>
  <c r="AY51" i="3" s="1"/>
  <c r="AH51" i="3"/>
  <c r="AI51" i="3" s="1"/>
  <c r="O53" i="3"/>
  <c r="DA53" i="3" s="1"/>
  <c r="BE52" i="3"/>
  <c r="AW52" i="3"/>
  <c r="AO52" i="3"/>
  <c r="AG52" i="3"/>
  <c r="BD52" i="3"/>
  <c r="BF52" i="3" s="1"/>
  <c r="BG52" i="3" s="1"/>
  <c r="AN52" i="3"/>
  <c r="BA52" i="3"/>
  <c r="AK52" i="3"/>
  <c r="AV52" i="3"/>
  <c r="AF52" i="3"/>
  <c r="AS52" i="3"/>
  <c r="AR52" i="3"/>
  <c r="AJ52" i="3"/>
  <c r="BI52" i="3"/>
  <c r="AZ52" i="3"/>
  <c r="BB52" i="3" s="1"/>
  <c r="BC52" i="3" s="1"/>
  <c r="BH52" i="3"/>
  <c r="CM52" i="3" l="1"/>
  <c r="CJ52" i="3"/>
  <c r="N53" i="3"/>
  <c r="CU54" i="3"/>
  <c r="CI53" i="3"/>
  <c r="CO53" i="3"/>
  <c r="CF53" i="3"/>
  <c r="CL53" i="3"/>
  <c r="BZ53" i="3"/>
  <c r="CR53" i="3"/>
  <c r="CH53" i="3"/>
  <c r="CE53" i="3"/>
  <c r="CQ53" i="3"/>
  <c r="CK53" i="3"/>
  <c r="CN53" i="3"/>
  <c r="BY53" i="3"/>
  <c r="CT53" i="3"/>
  <c r="CV53" i="3" s="1"/>
  <c r="CG52" i="3"/>
  <c r="CS52" i="3"/>
  <c r="CA52" i="3"/>
  <c r="CP52" i="3"/>
  <c r="AP52" i="3"/>
  <c r="AQ52" i="3" s="1"/>
  <c r="AX52" i="3"/>
  <c r="AY52" i="3" s="1"/>
  <c r="AT52" i="3"/>
  <c r="AU52" i="3" s="1"/>
  <c r="AH52" i="3"/>
  <c r="AI52" i="3" s="1"/>
  <c r="AL52" i="3"/>
  <c r="AM52" i="3" s="1"/>
  <c r="BJ52" i="3"/>
  <c r="BK52" i="3" s="1"/>
  <c r="O54" i="3"/>
  <c r="DA54" i="3" s="1"/>
  <c r="BE53" i="3"/>
  <c r="AW53" i="3"/>
  <c r="AO53" i="3"/>
  <c r="AG53" i="3"/>
  <c r="BD53" i="3"/>
  <c r="AV53" i="3"/>
  <c r="AX53" i="3" s="1"/>
  <c r="AY53" i="3" s="1"/>
  <c r="AN53" i="3"/>
  <c r="AF53" i="3"/>
  <c r="BI53" i="3"/>
  <c r="BA53" i="3"/>
  <c r="AS53" i="3"/>
  <c r="AK53" i="3"/>
  <c r="AZ53" i="3"/>
  <c r="AJ53" i="3"/>
  <c r="BH53" i="3"/>
  <c r="AR53" i="3"/>
  <c r="CJ53" i="3" l="1"/>
  <c r="N54" i="3"/>
  <c r="CR54" i="3"/>
  <c r="CL54" i="3"/>
  <c r="CF54" i="3"/>
  <c r="CU55" i="3"/>
  <c r="CI54" i="3"/>
  <c r="CO54" i="3"/>
  <c r="BZ54" i="3"/>
  <c r="CN54" i="3"/>
  <c r="CT54" i="3"/>
  <c r="CV54" i="3" s="1"/>
  <c r="CK54" i="3"/>
  <c r="CM54" i="3" s="1"/>
  <c r="CH54" i="3"/>
  <c r="CQ54" i="3"/>
  <c r="CE54" i="3"/>
  <c r="BY54" i="3"/>
  <c r="CG53" i="3"/>
  <c r="CS53" i="3"/>
  <c r="CM53" i="3"/>
  <c r="CA53" i="3"/>
  <c r="CP53" i="3"/>
  <c r="BF53" i="3"/>
  <c r="BG53" i="3" s="1"/>
  <c r="AP53" i="3"/>
  <c r="AQ53" i="3" s="1"/>
  <c r="AH53" i="3"/>
  <c r="AI53" i="3" s="1"/>
  <c r="BJ53" i="3"/>
  <c r="BK53" i="3" s="1"/>
  <c r="AT53" i="3"/>
  <c r="AU53" i="3" s="1"/>
  <c r="AL53" i="3"/>
  <c r="AM53" i="3" s="1"/>
  <c r="BB53" i="3"/>
  <c r="BC53" i="3" s="1"/>
  <c r="BI54" i="3"/>
  <c r="BA54" i="3"/>
  <c r="AS54" i="3"/>
  <c r="AK54" i="3"/>
  <c r="AZ54" i="3"/>
  <c r="AJ54" i="3"/>
  <c r="O55" i="3"/>
  <c r="DA55" i="3" s="1"/>
  <c r="AW54" i="3"/>
  <c r="AG54" i="3"/>
  <c r="BH54" i="3"/>
  <c r="AR54" i="3"/>
  <c r="AT54" i="3" s="1"/>
  <c r="AU54" i="3" s="1"/>
  <c r="BE54" i="3"/>
  <c r="BD54" i="3"/>
  <c r="AV54" i="3"/>
  <c r="AO54" i="3"/>
  <c r="AN54" i="3"/>
  <c r="AF54" i="3"/>
  <c r="AH54" i="3" s="1"/>
  <c r="AI54" i="3" s="1"/>
  <c r="CJ54" i="3" l="1"/>
  <c r="N55" i="3"/>
  <c r="CO55" i="3"/>
  <c r="CR55" i="3"/>
  <c r="CL55" i="3"/>
  <c r="CI55" i="3"/>
  <c r="CF55" i="3"/>
  <c r="BZ55" i="3"/>
  <c r="BZ78" i="3" s="1"/>
  <c r="CU56" i="3"/>
  <c r="CE55" i="3"/>
  <c r="CK55" i="3"/>
  <c r="CT55" i="3"/>
  <c r="CV55" i="3" s="1"/>
  <c r="CN55" i="3"/>
  <c r="CH55" i="3"/>
  <c r="CQ55" i="3"/>
  <c r="BY55" i="3"/>
  <c r="BY78" i="3" s="1"/>
  <c r="CG54" i="3"/>
  <c r="CA54" i="3"/>
  <c r="CS54" i="3"/>
  <c r="CP54" i="3"/>
  <c r="BF54" i="3"/>
  <c r="BG54" i="3" s="1"/>
  <c r="AL54" i="3"/>
  <c r="AM54" i="3" s="1"/>
  <c r="BB54" i="3"/>
  <c r="BC54" i="3" s="1"/>
  <c r="AP54" i="3"/>
  <c r="AQ54" i="3" s="1"/>
  <c r="BI55" i="3"/>
  <c r="BA55" i="3"/>
  <c r="AS55" i="3"/>
  <c r="AK55" i="3"/>
  <c r="AK78" i="3" s="1"/>
  <c r="BH55" i="3"/>
  <c r="AZ55" i="3"/>
  <c r="AR55" i="3"/>
  <c r="AJ55" i="3"/>
  <c r="O56" i="3"/>
  <c r="DA56" i="3" s="1"/>
  <c r="BE55" i="3"/>
  <c r="AW55" i="3"/>
  <c r="AO55" i="3"/>
  <c r="AG55" i="3"/>
  <c r="AG78" i="3" s="1"/>
  <c r="AV55" i="3"/>
  <c r="AF55" i="3"/>
  <c r="BD55" i="3"/>
  <c r="AN55" i="3"/>
  <c r="AX54" i="3"/>
  <c r="AY54" i="3" s="1"/>
  <c r="BJ54" i="3"/>
  <c r="BK54" i="3" s="1"/>
  <c r="CJ55" i="3" l="1"/>
  <c r="N56" i="3"/>
  <c r="CU57" i="3"/>
  <c r="CI56" i="3"/>
  <c r="CO56" i="3"/>
  <c r="CR56" i="3"/>
  <c r="CL56" i="3"/>
  <c r="CF56" i="3"/>
  <c r="CN56" i="3"/>
  <c r="CH56" i="3"/>
  <c r="CK56" i="3"/>
  <c r="CT56" i="3"/>
  <c r="CQ56" i="3"/>
  <c r="CE56" i="3"/>
  <c r="CM55" i="3"/>
  <c r="CG55" i="3"/>
  <c r="CS55" i="3"/>
  <c r="CA55" i="3"/>
  <c r="CP55" i="3"/>
  <c r="AT55" i="3"/>
  <c r="AU55" i="3" s="1"/>
  <c r="BB55" i="3"/>
  <c r="BC55" i="3" s="1"/>
  <c r="BJ55" i="3"/>
  <c r="BK55" i="3" s="1"/>
  <c r="AX55" i="3"/>
  <c r="AY55" i="3" s="1"/>
  <c r="AP55" i="3"/>
  <c r="AQ55" i="3" s="1"/>
  <c r="BF55" i="3"/>
  <c r="BG55" i="3" s="1"/>
  <c r="AL55" i="3"/>
  <c r="AM55" i="3" s="1"/>
  <c r="AM78" i="3" s="1"/>
  <c r="G17" i="3" s="1"/>
  <c r="Q26" i="7" s="1"/>
  <c r="AJ78" i="3"/>
  <c r="AH55" i="3"/>
  <c r="AI55" i="3" s="1"/>
  <c r="AI78" i="3" s="1"/>
  <c r="F17" i="3" s="1"/>
  <c r="Q8" i="7" s="1"/>
  <c r="AF78" i="3"/>
  <c r="O57" i="3"/>
  <c r="DA57" i="3" s="1"/>
  <c r="BE56" i="3"/>
  <c r="AW56" i="3"/>
  <c r="AO56" i="3"/>
  <c r="BD56" i="3"/>
  <c r="AN56" i="3"/>
  <c r="BA56" i="3"/>
  <c r="AV56" i="3"/>
  <c r="AR56" i="3"/>
  <c r="BI56" i="3"/>
  <c r="AZ56" i="3"/>
  <c r="BB56" i="3" s="1"/>
  <c r="BC56" i="3" s="1"/>
  <c r="BH56" i="3"/>
  <c r="AS56" i="3"/>
  <c r="CY56" i="3" l="1"/>
  <c r="N57" i="3"/>
  <c r="CU58" i="3"/>
  <c r="CI57" i="3"/>
  <c r="CO57" i="3"/>
  <c r="CR57" i="3"/>
  <c r="CL57" i="3"/>
  <c r="CF57" i="3"/>
  <c r="CK57" i="3"/>
  <c r="CT57" i="3"/>
  <c r="CQ57" i="3"/>
  <c r="CE57" i="3"/>
  <c r="CG57" i="3" s="1"/>
  <c r="CN57" i="3"/>
  <c r="CH57" i="3"/>
  <c r="CX56" i="3"/>
  <c r="CS56" i="3"/>
  <c r="CM56" i="3"/>
  <c r="CV56" i="3"/>
  <c r="CG56" i="3"/>
  <c r="CP56" i="3"/>
  <c r="CJ56" i="3"/>
  <c r="BF56" i="3"/>
  <c r="BG56" i="3" s="1"/>
  <c r="BJ56" i="3"/>
  <c r="BK56" i="3" s="1"/>
  <c r="O58" i="3"/>
  <c r="DA58" i="3" s="1"/>
  <c r="BE57" i="3"/>
  <c r="AW57" i="3"/>
  <c r="AO57" i="3"/>
  <c r="BD57" i="3"/>
  <c r="AV57" i="3"/>
  <c r="AN57" i="3"/>
  <c r="BI57" i="3"/>
  <c r="BA57" i="3"/>
  <c r="AS57" i="3"/>
  <c r="BH57" i="3"/>
  <c r="AR57" i="3"/>
  <c r="AZ57" i="3"/>
  <c r="AX56" i="3"/>
  <c r="AY56" i="3" s="1"/>
  <c r="AT56" i="3"/>
  <c r="AU56" i="3" s="1"/>
  <c r="AP56" i="3"/>
  <c r="AQ56" i="3" s="1"/>
  <c r="DB56" i="3" l="1"/>
  <c r="CZ56" i="3"/>
  <c r="CY57" i="3"/>
  <c r="DB57" i="3" s="1"/>
  <c r="CM57" i="3"/>
  <c r="N58" i="3"/>
  <c r="CR58" i="3"/>
  <c r="CL58" i="3"/>
  <c r="CF58" i="3"/>
  <c r="CU59" i="3"/>
  <c r="CI58" i="3"/>
  <c r="CO58" i="3"/>
  <c r="CH58" i="3"/>
  <c r="CQ58" i="3"/>
  <c r="CT58" i="3"/>
  <c r="CV58" i="3" s="1"/>
  <c r="CN58" i="3"/>
  <c r="CE58" i="3"/>
  <c r="CG58" i="3" s="1"/>
  <c r="CK58" i="3"/>
  <c r="CX57" i="3"/>
  <c r="H29" i="7"/>
  <c r="H26" i="7"/>
  <c r="H30" i="7"/>
  <c r="H27" i="7"/>
  <c r="H31" i="7"/>
  <c r="H25" i="7"/>
  <c r="H28" i="7"/>
  <c r="H32" i="7"/>
  <c r="H11" i="7"/>
  <c r="H15" i="7"/>
  <c r="H19" i="7"/>
  <c r="H8" i="7"/>
  <c r="H12" i="7"/>
  <c r="H16" i="7"/>
  <c r="H9" i="7"/>
  <c r="H13" i="7"/>
  <c r="H17" i="7"/>
  <c r="H10" i="7"/>
  <c r="H14" i="7"/>
  <c r="H18" i="7"/>
  <c r="H7" i="7"/>
  <c r="CP57" i="3"/>
  <c r="CJ57" i="3"/>
  <c r="CS57" i="3"/>
  <c r="CV57" i="3"/>
  <c r="BJ57" i="3"/>
  <c r="BK57" i="3" s="1"/>
  <c r="AP57" i="3"/>
  <c r="AQ57" i="3" s="1"/>
  <c r="BI58" i="3"/>
  <c r="BA58" i="3"/>
  <c r="AS58" i="3"/>
  <c r="AZ58" i="3"/>
  <c r="O59" i="3"/>
  <c r="DA59" i="3" s="1"/>
  <c r="AW58" i="3"/>
  <c r="BH58" i="3"/>
  <c r="AR58" i="3"/>
  <c r="BE58" i="3"/>
  <c r="BD58" i="3"/>
  <c r="AO58" i="3"/>
  <c r="AV58" i="3"/>
  <c r="AN58" i="3"/>
  <c r="AX57" i="3"/>
  <c r="AY57" i="3" s="1"/>
  <c r="BB57" i="3"/>
  <c r="BC57" i="3" s="1"/>
  <c r="BF57" i="3"/>
  <c r="BG57" i="3" s="1"/>
  <c r="AT57" i="3"/>
  <c r="AU57" i="3" s="1"/>
  <c r="CZ57" i="3" l="1"/>
  <c r="N59" i="3"/>
  <c r="CO59" i="3"/>
  <c r="CR59" i="3"/>
  <c r="CL59" i="3"/>
  <c r="CI59" i="3"/>
  <c r="CU60" i="3"/>
  <c r="CF59" i="3"/>
  <c r="CN59" i="3"/>
  <c r="CQ59" i="3"/>
  <c r="CH59" i="3"/>
  <c r="CE59" i="3"/>
  <c r="CT59" i="3"/>
  <c r="CK59" i="3"/>
  <c r="CY58" i="3"/>
  <c r="CX58" i="3"/>
  <c r="CJ58" i="3"/>
  <c r="CP58" i="3"/>
  <c r="CS58" i="3"/>
  <c r="CM58" i="3"/>
  <c r="AX58" i="3"/>
  <c r="AY58" i="3" s="1"/>
  <c r="BB58" i="3"/>
  <c r="BC58" i="3" s="1"/>
  <c r="BF58" i="3"/>
  <c r="BG58" i="3" s="1"/>
  <c r="AT58" i="3"/>
  <c r="AU58" i="3" s="1"/>
  <c r="BJ58" i="3"/>
  <c r="BK58" i="3" s="1"/>
  <c r="AP58" i="3"/>
  <c r="AQ58" i="3" s="1"/>
  <c r="BI59" i="3"/>
  <c r="BA59" i="3"/>
  <c r="AS59" i="3"/>
  <c r="BH59" i="3"/>
  <c r="AZ59" i="3"/>
  <c r="AR59" i="3"/>
  <c r="O60" i="3"/>
  <c r="DA60" i="3" s="1"/>
  <c r="BE59" i="3"/>
  <c r="AW59" i="3"/>
  <c r="AO59" i="3"/>
  <c r="BD59" i="3"/>
  <c r="AN59" i="3"/>
  <c r="AV59" i="3"/>
  <c r="AX59" i="3" s="1"/>
  <c r="AY59" i="3" s="1"/>
  <c r="CG59" i="3" l="1"/>
  <c r="CM59" i="3"/>
  <c r="DB58" i="3"/>
  <c r="CZ58" i="3"/>
  <c r="CY59" i="3"/>
  <c r="DB59" i="3" s="1"/>
  <c r="N60" i="3"/>
  <c r="CU61" i="3"/>
  <c r="CI60" i="3"/>
  <c r="CO60" i="3"/>
  <c r="CR60" i="3"/>
  <c r="CL60" i="3"/>
  <c r="CF60" i="3"/>
  <c r="CT60" i="3"/>
  <c r="CV60" i="3" s="1"/>
  <c r="CE60" i="3"/>
  <c r="CE78" i="3" s="1"/>
  <c r="CQ60" i="3"/>
  <c r="CN60" i="3"/>
  <c r="CK60" i="3"/>
  <c r="CH60" i="3"/>
  <c r="CH78" i="3" s="1"/>
  <c r="CX59" i="3"/>
  <c r="CV59" i="3"/>
  <c r="CJ59" i="3"/>
  <c r="CS59" i="3"/>
  <c r="CP59" i="3"/>
  <c r="BB59" i="3"/>
  <c r="BC59" i="3" s="1"/>
  <c r="BF59" i="3"/>
  <c r="BG59" i="3" s="1"/>
  <c r="AT59" i="3"/>
  <c r="AU59" i="3" s="1"/>
  <c r="AP59" i="3"/>
  <c r="AQ59" i="3" s="1"/>
  <c r="BJ59" i="3"/>
  <c r="BK59" i="3" s="1"/>
  <c r="O61" i="3"/>
  <c r="DA61" i="3" s="1"/>
  <c r="BE60" i="3"/>
  <c r="AW60" i="3"/>
  <c r="AO60" i="3"/>
  <c r="AV60" i="3"/>
  <c r="BI60" i="3"/>
  <c r="AS60" i="3"/>
  <c r="BD60" i="3"/>
  <c r="AN60" i="3"/>
  <c r="BH60" i="3"/>
  <c r="BA60" i="3"/>
  <c r="AZ60" i="3"/>
  <c r="AR60" i="3"/>
  <c r="CZ59" i="3" l="1"/>
  <c r="CG60" i="3"/>
  <c r="CS60" i="3"/>
  <c r="CJ60" i="3"/>
  <c r="CX60" i="3"/>
  <c r="CY60" i="3"/>
  <c r="N61" i="3"/>
  <c r="CU62" i="3"/>
  <c r="CO61" i="3"/>
  <c r="CR61" i="3"/>
  <c r="CL61" i="3"/>
  <c r="CN61" i="3"/>
  <c r="CT61" i="3"/>
  <c r="CV61" i="3" s="1"/>
  <c r="CK61" i="3"/>
  <c r="CQ61" i="3"/>
  <c r="CP60" i="3"/>
  <c r="CF78" i="3"/>
  <c r="CI78" i="3"/>
  <c r="CM60" i="3"/>
  <c r="BJ60" i="3"/>
  <c r="BK60" i="3" s="1"/>
  <c r="AT60" i="3"/>
  <c r="AU60" i="3" s="1"/>
  <c r="AP60" i="3"/>
  <c r="AQ60" i="3" s="1"/>
  <c r="BF60" i="3"/>
  <c r="BG60" i="3" s="1"/>
  <c r="O62" i="3"/>
  <c r="DA62" i="3" s="1"/>
  <c r="BE61" i="3"/>
  <c r="AW61" i="3"/>
  <c r="AO61" i="3"/>
  <c r="AO78" i="3" s="1"/>
  <c r="BD61" i="3"/>
  <c r="AV61" i="3"/>
  <c r="AN61" i="3"/>
  <c r="BI61" i="3"/>
  <c r="BA61" i="3"/>
  <c r="AS61" i="3"/>
  <c r="AS78" i="3" s="1"/>
  <c r="AZ61" i="3"/>
  <c r="BH61" i="3"/>
  <c r="AR61" i="3"/>
  <c r="AX60" i="3"/>
  <c r="AY60" i="3" s="1"/>
  <c r="BB60" i="3"/>
  <c r="BC60" i="3" s="1"/>
  <c r="DB60" i="3" l="1"/>
  <c r="CZ60" i="3"/>
  <c r="CP61" i="3"/>
  <c r="CX61" i="3"/>
  <c r="N62" i="3"/>
  <c r="CR62" i="3"/>
  <c r="CL62" i="3"/>
  <c r="CU63" i="3"/>
  <c r="CO62" i="3"/>
  <c r="CQ62" i="3"/>
  <c r="CN62" i="3"/>
  <c r="CT62" i="3"/>
  <c r="CK62" i="3"/>
  <c r="CS61" i="3"/>
  <c r="CY61" i="3"/>
  <c r="DB61" i="3" s="1"/>
  <c r="CM61" i="3"/>
  <c r="BF61" i="3"/>
  <c r="BG61" i="3" s="1"/>
  <c r="BB61" i="3"/>
  <c r="BC61" i="3" s="1"/>
  <c r="AX61" i="3"/>
  <c r="AY61" i="3" s="1"/>
  <c r="AP61" i="3"/>
  <c r="AQ61" i="3" s="1"/>
  <c r="AQ78" i="3" s="1"/>
  <c r="H17" i="3" s="1"/>
  <c r="Q9" i="7" s="1"/>
  <c r="AN78" i="3"/>
  <c r="AT61" i="3"/>
  <c r="AU61" i="3" s="1"/>
  <c r="AU78" i="3" s="1"/>
  <c r="I17" i="3" s="1"/>
  <c r="Q27" i="7" s="1"/>
  <c r="AR78" i="3"/>
  <c r="BJ61" i="3"/>
  <c r="BK61" i="3" s="1"/>
  <c r="BI62" i="3"/>
  <c r="BA62" i="3"/>
  <c r="AZ62" i="3"/>
  <c r="O63" i="3"/>
  <c r="DA63" i="3" s="1"/>
  <c r="AW62" i="3"/>
  <c r="BH62" i="3"/>
  <c r="BE62" i="3"/>
  <c r="BD62" i="3"/>
  <c r="AV62" i="3"/>
  <c r="CY62" i="3" l="1"/>
  <c r="CZ61" i="3"/>
  <c r="CX62" i="3"/>
  <c r="N63" i="3"/>
  <c r="CO63" i="3"/>
  <c r="CR63" i="3"/>
  <c r="CL63" i="3"/>
  <c r="CU64" i="3"/>
  <c r="CQ63" i="3"/>
  <c r="CK63" i="3"/>
  <c r="CN63" i="3"/>
  <c r="CT63" i="3"/>
  <c r="CP62" i="3"/>
  <c r="CM62" i="3"/>
  <c r="CV62" i="3"/>
  <c r="CS62" i="3"/>
  <c r="AX62" i="3"/>
  <c r="AY62" i="3" s="1"/>
  <c r="BF62" i="3"/>
  <c r="BG62" i="3" s="1"/>
  <c r="BB62" i="3"/>
  <c r="BC62" i="3" s="1"/>
  <c r="BJ62" i="3"/>
  <c r="BK62" i="3" s="1"/>
  <c r="BI63" i="3"/>
  <c r="BA63" i="3"/>
  <c r="BH63" i="3"/>
  <c r="AZ63" i="3"/>
  <c r="O64" i="3"/>
  <c r="DA64" i="3" s="1"/>
  <c r="BE63" i="3"/>
  <c r="AW63" i="3"/>
  <c r="AV63" i="3"/>
  <c r="BD63" i="3"/>
  <c r="DB62" i="3" l="1"/>
  <c r="CZ62" i="3"/>
  <c r="CY63" i="3"/>
  <c r="DB63" i="3" s="1"/>
  <c r="N64" i="3"/>
  <c r="CU65" i="3"/>
  <c r="CO64" i="3"/>
  <c r="CR64" i="3"/>
  <c r="CL64" i="3"/>
  <c r="CT64" i="3"/>
  <c r="CN64" i="3"/>
  <c r="CP64" i="3" s="1"/>
  <c r="CK64" i="3"/>
  <c r="CQ64" i="3"/>
  <c r="CX63" i="3"/>
  <c r="J11" i="7"/>
  <c r="J15" i="7"/>
  <c r="J19" i="7"/>
  <c r="J8" i="7"/>
  <c r="J12" i="7"/>
  <c r="J16" i="7"/>
  <c r="J9" i="7"/>
  <c r="J13" i="7"/>
  <c r="J17" i="7"/>
  <c r="J7" i="7"/>
  <c r="J10" i="7"/>
  <c r="J14" i="7"/>
  <c r="J18" i="7"/>
  <c r="J28" i="7"/>
  <c r="J32" i="7"/>
  <c r="J29" i="7"/>
  <c r="J25" i="7"/>
  <c r="J26" i="7"/>
  <c r="J30" i="7"/>
  <c r="J27" i="7"/>
  <c r="J31" i="7"/>
  <c r="CP63" i="3"/>
  <c r="CM63" i="3"/>
  <c r="CV63" i="3"/>
  <c r="CS63" i="3"/>
  <c r="AX63" i="3"/>
  <c r="AY63" i="3" s="1"/>
  <c r="BB63" i="3"/>
  <c r="BC63" i="3" s="1"/>
  <c r="BJ63" i="3"/>
  <c r="BK63" i="3" s="1"/>
  <c r="O65" i="3"/>
  <c r="DA65" i="3" s="1"/>
  <c r="BE64" i="3"/>
  <c r="AW64" i="3"/>
  <c r="BD64" i="3"/>
  <c r="AV64" i="3"/>
  <c r="BA64" i="3"/>
  <c r="AZ64" i="3"/>
  <c r="BI64" i="3"/>
  <c r="BH64" i="3"/>
  <c r="BF63" i="3"/>
  <c r="BG63" i="3" s="1"/>
  <c r="CZ63" i="3" l="1"/>
  <c r="AX64" i="3"/>
  <c r="AY64" i="3" s="1"/>
  <c r="CX64" i="3"/>
  <c r="N65" i="3"/>
  <c r="CU66" i="3"/>
  <c r="CO65" i="3"/>
  <c r="CL65" i="3"/>
  <c r="CR65" i="3"/>
  <c r="CK65" i="3"/>
  <c r="CT65" i="3"/>
  <c r="CN65" i="3"/>
  <c r="CQ65" i="3"/>
  <c r="CY64" i="3"/>
  <c r="CM64" i="3"/>
  <c r="CV64" i="3"/>
  <c r="CS64" i="3"/>
  <c r="BB64" i="3"/>
  <c r="BC64" i="3" s="1"/>
  <c r="BJ64" i="3"/>
  <c r="BK64" i="3" s="1"/>
  <c r="BF64" i="3"/>
  <c r="BG64" i="3" s="1"/>
  <c r="O66" i="3"/>
  <c r="DA66" i="3" s="1"/>
  <c r="BE65" i="3"/>
  <c r="AW65" i="3"/>
  <c r="BD65" i="3"/>
  <c r="AV65" i="3"/>
  <c r="BI65" i="3"/>
  <c r="BA65" i="3"/>
  <c r="AZ65" i="3"/>
  <c r="BH65" i="3"/>
  <c r="DB64" i="3" l="1"/>
  <c r="CY65" i="3"/>
  <c r="DB65" i="3" s="1"/>
  <c r="CZ64" i="3"/>
  <c r="CX65" i="3"/>
  <c r="N66" i="3"/>
  <c r="CR66" i="3"/>
  <c r="CL66" i="3"/>
  <c r="CU67" i="3"/>
  <c r="CO66" i="3"/>
  <c r="CK66" i="3"/>
  <c r="CT66" i="3"/>
  <c r="CN66" i="3"/>
  <c r="CQ66" i="3"/>
  <c r="CV65" i="3"/>
  <c r="CP65" i="3"/>
  <c r="CM65" i="3"/>
  <c r="CS65" i="3"/>
  <c r="AX65" i="3"/>
  <c r="AY65" i="3" s="1"/>
  <c r="BB65" i="3"/>
  <c r="BC65" i="3" s="1"/>
  <c r="BF65" i="3"/>
  <c r="BG65" i="3" s="1"/>
  <c r="BJ65" i="3"/>
  <c r="BK65" i="3" s="1"/>
  <c r="BI66" i="3"/>
  <c r="BA66" i="3"/>
  <c r="BH66" i="3"/>
  <c r="AZ66" i="3"/>
  <c r="BE66" i="3"/>
  <c r="AW66" i="3"/>
  <c r="AV66" i="3"/>
  <c r="O67" i="3"/>
  <c r="DA67" i="3" s="1"/>
  <c r="BD66" i="3"/>
  <c r="CZ65" i="3" l="1"/>
  <c r="CX66" i="3"/>
  <c r="N67" i="3"/>
  <c r="CO67" i="3"/>
  <c r="CO78" i="3" s="1"/>
  <c r="CR67" i="3"/>
  <c r="CL67" i="3"/>
  <c r="CL78" i="3" s="1"/>
  <c r="CU68" i="3"/>
  <c r="CN67" i="3"/>
  <c r="CN78" i="3" s="1"/>
  <c r="CK67" i="3"/>
  <c r="CQ67" i="3"/>
  <c r="CT67" i="3"/>
  <c r="CY66" i="3"/>
  <c r="CP66" i="3"/>
  <c r="CM66" i="3"/>
  <c r="CV66" i="3"/>
  <c r="CS66" i="3"/>
  <c r="BF66" i="3"/>
  <c r="BG66" i="3" s="1"/>
  <c r="AX66" i="3"/>
  <c r="AY66" i="3" s="1"/>
  <c r="BI67" i="3"/>
  <c r="BA67" i="3"/>
  <c r="BA78" i="3" s="1"/>
  <c r="BH67" i="3"/>
  <c r="AZ67" i="3"/>
  <c r="O68" i="3"/>
  <c r="BE67" i="3"/>
  <c r="AW67" i="3"/>
  <c r="AW78" i="3" s="1"/>
  <c r="BD67" i="3"/>
  <c r="AV67" i="3"/>
  <c r="BB66" i="3"/>
  <c r="BC66" i="3" s="1"/>
  <c r="BJ66" i="3"/>
  <c r="BK66" i="3" s="1"/>
  <c r="DB66" i="3" l="1"/>
  <c r="CY67" i="3"/>
  <c r="DB67" i="3" s="1"/>
  <c r="CZ66" i="3"/>
  <c r="N68" i="3"/>
  <c r="CU69" i="3"/>
  <c r="CR68" i="3"/>
  <c r="CY68" i="3" s="1"/>
  <c r="CQ68" i="3"/>
  <c r="CT68" i="3"/>
  <c r="CX67" i="3"/>
  <c r="CM67" i="3"/>
  <c r="CK78" i="3"/>
  <c r="CV67" i="3"/>
  <c r="CS67" i="3"/>
  <c r="CP67" i="3"/>
  <c r="BJ67" i="3"/>
  <c r="BK67" i="3" s="1"/>
  <c r="BF67" i="3"/>
  <c r="BG67" i="3" s="1"/>
  <c r="O69" i="3"/>
  <c r="BE68" i="3"/>
  <c r="BD68" i="3"/>
  <c r="BI68" i="3"/>
  <c r="BH68" i="3"/>
  <c r="BB67" i="3"/>
  <c r="BC67" i="3" s="1"/>
  <c r="BC78" i="3" s="1"/>
  <c r="K17" i="3" s="1"/>
  <c r="Q28" i="7" s="1"/>
  <c r="AZ78" i="3"/>
  <c r="AX67" i="3"/>
  <c r="AY67" i="3" s="1"/>
  <c r="AY78" i="3" s="1"/>
  <c r="J17" i="3" s="1"/>
  <c r="Q10" i="7" s="1"/>
  <c r="AV78" i="3"/>
  <c r="CZ67" i="3" l="1"/>
  <c r="CX68" i="3"/>
  <c r="N69" i="3"/>
  <c r="CU70" i="3"/>
  <c r="CR69" i="3"/>
  <c r="CY69" i="3" s="1"/>
  <c r="CT69" i="3"/>
  <c r="CQ69" i="3"/>
  <c r="CV68" i="3"/>
  <c r="CS68" i="3"/>
  <c r="BF68" i="3"/>
  <c r="BG68" i="3" s="1"/>
  <c r="BJ68" i="3"/>
  <c r="BK68" i="3" s="1"/>
  <c r="O70" i="3"/>
  <c r="BE69" i="3"/>
  <c r="BD69" i="3"/>
  <c r="BI69" i="3"/>
  <c r="BH69" i="3"/>
  <c r="CZ68" i="3" l="1"/>
  <c r="CX69" i="3"/>
  <c r="N70" i="3"/>
  <c r="CR70" i="3"/>
  <c r="CY70" i="3" s="1"/>
  <c r="CU71" i="3"/>
  <c r="CQ70" i="3"/>
  <c r="CT70" i="3"/>
  <c r="L11" i="7"/>
  <c r="L15" i="7"/>
  <c r="L19" i="7"/>
  <c r="L8" i="7"/>
  <c r="L12" i="7"/>
  <c r="L16" i="7"/>
  <c r="L7" i="7"/>
  <c r="L9" i="7"/>
  <c r="L13" i="7"/>
  <c r="L17" i="7"/>
  <c r="L10" i="7"/>
  <c r="L14" i="7"/>
  <c r="L18" i="7"/>
  <c r="L27" i="7"/>
  <c r="L31" i="7"/>
  <c r="L25" i="7"/>
  <c r="L28" i="7"/>
  <c r="L32" i="7"/>
  <c r="L29" i="7"/>
  <c r="L26" i="7"/>
  <c r="L30" i="7"/>
  <c r="BF69" i="3"/>
  <c r="BG69" i="3" s="1"/>
  <c r="CS69" i="3"/>
  <c r="CV69" i="3"/>
  <c r="BJ69" i="3"/>
  <c r="BK69" i="3" s="1"/>
  <c r="BI70" i="3"/>
  <c r="BH70" i="3"/>
  <c r="BE70" i="3"/>
  <c r="BD70" i="3"/>
  <c r="O71" i="3"/>
  <c r="CZ69" i="3" l="1"/>
  <c r="CX70" i="3"/>
  <c r="N71" i="3"/>
  <c r="CR71" i="3"/>
  <c r="CY71" i="3" s="1"/>
  <c r="CU72" i="3"/>
  <c r="CQ71" i="3"/>
  <c r="CT71" i="3"/>
  <c r="CV70" i="3"/>
  <c r="CS70" i="3"/>
  <c r="BJ70" i="3"/>
  <c r="BK70" i="3" s="1"/>
  <c r="BF70" i="3"/>
  <c r="BG70" i="3" s="1"/>
  <c r="BI71" i="3"/>
  <c r="BH71" i="3"/>
  <c r="O72" i="3"/>
  <c r="BE71" i="3"/>
  <c r="BD71" i="3"/>
  <c r="CZ70" i="3" l="1"/>
  <c r="CX71" i="3"/>
  <c r="N72" i="3"/>
  <c r="CU73" i="3"/>
  <c r="CR72" i="3"/>
  <c r="CY72" i="3" s="1"/>
  <c r="CT72" i="3"/>
  <c r="CQ72" i="3"/>
  <c r="CS71" i="3"/>
  <c r="CV71" i="3"/>
  <c r="BJ71" i="3"/>
  <c r="BK71" i="3" s="1"/>
  <c r="BF71" i="3"/>
  <c r="BG71" i="3" s="1"/>
  <c r="O73" i="3"/>
  <c r="BE72" i="3"/>
  <c r="BD72" i="3"/>
  <c r="BH72" i="3"/>
  <c r="BI72" i="3"/>
  <c r="CZ71" i="3" l="1"/>
  <c r="N73" i="3"/>
  <c r="CU74" i="3"/>
  <c r="CR73" i="3"/>
  <c r="CY73" i="3" s="1"/>
  <c r="CT73" i="3"/>
  <c r="CQ73" i="3"/>
  <c r="CX72" i="3"/>
  <c r="CS72" i="3"/>
  <c r="CV72" i="3"/>
  <c r="BJ72" i="3"/>
  <c r="BK72" i="3" s="1"/>
  <c r="BF72" i="3"/>
  <c r="BG72" i="3" s="1"/>
  <c r="O74" i="3"/>
  <c r="BE73" i="3"/>
  <c r="BD73" i="3"/>
  <c r="BI73" i="3"/>
  <c r="BH73" i="3"/>
  <c r="CZ72" i="3" l="1"/>
  <c r="N74" i="3"/>
  <c r="CR74" i="3"/>
  <c r="CY74" i="3" s="1"/>
  <c r="CU75" i="3"/>
  <c r="CT74" i="3"/>
  <c r="CQ74" i="3"/>
  <c r="CX73" i="3"/>
  <c r="CV73" i="3"/>
  <c r="CS73" i="3"/>
  <c r="BF73" i="3"/>
  <c r="BG73" i="3" s="1"/>
  <c r="BJ73" i="3"/>
  <c r="BK73" i="3" s="1"/>
  <c r="BI74" i="3"/>
  <c r="BH74" i="3"/>
  <c r="BE74" i="3"/>
  <c r="BD74" i="3"/>
  <c r="O75" i="3"/>
  <c r="CZ73" i="3" l="1"/>
  <c r="N75" i="3"/>
  <c r="CR75" i="3"/>
  <c r="CY75" i="3" s="1"/>
  <c r="CU76" i="3"/>
  <c r="CT75" i="3"/>
  <c r="CQ75" i="3"/>
  <c r="CX74" i="3"/>
  <c r="BJ74" i="3"/>
  <c r="BK74" i="3" s="1"/>
  <c r="CS74" i="3"/>
  <c r="CV74" i="3"/>
  <c r="BF74" i="3"/>
  <c r="BG74" i="3" s="1"/>
  <c r="BI75" i="3"/>
  <c r="BH75" i="3"/>
  <c r="O76" i="3"/>
  <c r="BE75" i="3"/>
  <c r="BD75" i="3"/>
  <c r="CZ74" i="3" l="1"/>
  <c r="N76" i="3"/>
  <c r="CU77" i="3"/>
  <c r="CR76" i="3"/>
  <c r="CY76" i="3" s="1"/>
  <c r="CQ76" i="3"/>
  <c r="CT76" i="3"/>
  <c r="CX75" i="3"/>
  <c r="CS75" i="3"/>
  <c r="CV75" i="3"/>
  <c r="BJ75" i="3"/>
  <c r="BK75" i="3" s="1"/>
  <c r="BF75" i="3"/>
  <c r="BG75" i="3" s="1"/>
  <c r="O77" i="3"/>
  <c r="BE76" i="3"/>
  <c r="BD76" i="3"/>
  <c r="BI76" i="3"/>
  <c r="BH76" i="3"/>
  <c r="CZ75" i="3" l="1"/>
  <c r="CX76" i="3"/>
  <c r="N77" i="3"/>
  <c r="M32" i="22" s="1"/>
  <c r="S32" i="22" s="1"/>
  <c r="CR77" i="3"/>
  <c r="CY77" i="3" s="1"/>
  <c r="CQ77" i="3"/>
  <c r="CT77" i="3"/>
  <c r="CT78" i="3" s="1"/>
  <c r="CS76" i="3"/>
  <c r="CV76" i="3"/>
  <c r="CU78" i="3"/>
  <c r="BF76" i="3"/>
  <c r="BG76" i="3" s="1"/>
  <c r="BE77" i="3"/>
  <c r="BE78" i="3" s="1"/>
  <c r="BD77" i="3"/>
  <c r="BI77" i="3"/>
  <c r="BI78" i="3" s="1"/>
  <c r="BH77" i="3"/>
  <c r="BJ76" i="3"/>
  <c r="BK76" i="3" s="1"/>
  <c r="M33" i="22" l="1"/>
  <c r="S33" i="22" s="1"/>
  <c r="L35" i="22"/>
  <c r="L8" i="22"/>
  <c r="L36" i="22"/>
  <c r="M36" i="22"/>
  <c r="S36" i="22" s="1"/>
  <c r="M35" i="22"/>
  <c r="S35" i="22" s="1"/>
  <c r="M8" i="22"/>
  <c r="S8" i="22" s="1"/>
  <c r="L37" i="22"/>
  <c r="M37" i="22"/>
  <c r="S37" i="22" s="1"/>
  <c r="M9" i="22"/>
  <c r="S9" i="22" s="1"/>
  <c r="M10" i="22"/>
  <c r="S10" i="22" s="1"/>
  <c r="M11" i="22"/>
  <c r="S11" i="22" s="1"/>
  <c r="L25" i="22"/>
  <c r="L24" i="22"/>
  <c r="M24" i="22"/>
  <c r="S24" i="22" s="1"/>
  <c r="M25" i="22"/>
  <c r="S25" i="22" s="1"/>
  <c r="M26" i="22"/>
  <c r="S26" i="22" s="1"/>
  <c r="L26" i="22"/>
  <c r="M27" i="22"/>
  <c r="S27" i="22" s="1"/>
  <c r="L28" i="22"/>
  <c r="L27" i="22"/>
  <c r="M30" i="22"/>
  <c r="S30" i="22" s="1"/>
  <c r="M29" i="22"/>
  <c r="S29" i="22" s="1"/>
  <c r="M28" i="22"/>
  <c r="S28" i="22" s="1"/>
  <c r="M31" i="22"/>
  <c r="S31" i="22" s="1"/>
  <c r="L29" i="22"/>
  <c r="L31" i="22"/>
  <c r="L33" i="22"/>
  <c r="M34" i="22"/>
  <c r="S34" i="22" s="1"/>
  <c r="L32" i="22"/>
  <c r="L30" i="22"/>
  <c r="CZ76" i="3"/>
  <c r="CR78" i="3"/>
  <c r="CX77" i="3"/>
  <c r="L34" i="22" s="1"/>
  <c r="CQ78" i="3"/>
  <c r="CS77" i="3"/>
  <c r="CV77" i="3"/>
  <c r="BJ77" i="3"/>
  <c r="BK77" i="3" s="1"/>
  <c r="BK78" i="3" s="1"/>
  <c r="M17" i="3" s="1"/>
  <c r="Q29" i="7" s="1"/>
  <c r="BH78" i="3"/>
  <c r="BF77" i="3"/>
  <c r="BG77" i="3" s="1"/>
  <c r="BG78" i="3" s="1"/>
  <c r="L17" i="3" s="1"/>
  <c r="Q11" i="7" s="1"/>
  <c r="BD78" i="3"/>
  <c r="N33" i="22" l="1"/>
  <c r="R33" i="22"/>
  <c r="T33" i="22" s="1"/>
  <c r="R28" i="22"/>
  <c r="T28" i="22" s="1"/>
  <c r="N28" i="22"/>
  <c r="R37" i="22"/>
  <c r="T37" i="22" s="1"/>
  <c r="N37" i="22"/>
  <c r="R36" i="22"/>
  <c r="T36" i="22" s="1"/>
  <c r="N36" i="22"/>
  <c r="N30" i="22"/>
  <c r="R30" i="22"/>
  <c r="T30" i="22" s="1"/>
  <c r="R31" i="22"/>
  <c r="T31" i="22" s="1"/>
  <c r="N31" i="22"/>
  <c r="R8" i="22"/>
  <c r="T8" i="22" s="1"/>
  <c r="N8" i="22"/>
  <c r="R32" i="22"/>
  <c r="T32" i="22" s="1"/>
  <c r="N32" i="22"/>
  <c r="R29" i="22"/>
  <c r="T29" i="22" s="1"/>
  <c r="N29" i="22"/>
  <c r="R26" i="22"/>
  <c r="T26" i="22" s="1"/>
  <c r="N26" i="22"/>
  <c r="R24" i="22"/>
  <c r="T24" i="22" s="1"/>
  <c r="N24" i="22"/>
  <c r="R35" i="22"/>
  <c r="T35" i="22" s="1"/>
  <c r="N35" i="22"/>
  <c r="N27" i="22"/>
  <c r="R27" i="22"/>
  <c r="T27" i="22" s="1"/>
  <c r="R25" i="22"/>
  <c r="T25" i="22" s="1"/>
  <c r="N25" i="22"/>
  <c r="N34" i="22"/>
  <c r="R34" i="22"/>
  <c r="T34" i="22" s="1"/>
  <c r="CZ77" i="3"/>
  <c r="N26" i="7" l="1"/>
  <c r="C26" i="7" s="1"/>
  <c r="B26" i="7" s="1"/>
  <c r="N30" i="7"/>
  <c r="N27" i="7"/>
  <c r="N31" i="7"/>
  <c r="N28" i="7"/>
  <c r="C28" i="7" s="1"/>
  <c r="B28" i="7" s="1"/>
  <c r="N32" i="7"/>
  <c r="N29" i="7"/>
  <c r="N25" i="7"/>
  <c r="N8" i="7"/>
  <c r="C8" i="7" s="1"/>
  <c r="B8" i="7" s="1"/>
  <c r="N12" i="7"/>
  <c r="N16" i="7"/>
  <c r="N7" i="7"/>
  <c r="N9" i="7"/>
  <c r="N13" i="7"/>
  <c r="N17" i="7"/>
  <c r="N10" i="7"/>
  <c r="N14" i="7"/>
  <c r="N18" i="7"/>
  <c r="N11" i="7"/>
  <c r="N15" i="7"/>
  <c r="N19" i="7"/>
  <c r="C18" i="7" l="1"/>
  <c r="B18" i="7" s="1"/>
  <c r="C13" i="7"/>
  <c r="B13" i="7" s="1"/>
  <c r="C12" i="7"/>
  <c r="B12" i="7" s="1"/>
  <c r="C32" i="7"/>
  <c r="B32" i="7" s="1"/>
  <c r="C19" i="7"/>
  <c r="B19" i="7" s="1"/>
  <c r="C14" i="7"/>
  <c r="B14" i="7" s="1"/>
  <c r="C9" i="7"/>
  <c r="B9" i="7" s="1"/>
  <c r="C15" i="7"/>
  <c r="B15" i="7" s="1"/>
  <c r="C10" i="7"/>
  <c r="B10" i="7" s="1"/>
  <c r="C7" i="7"/>
  <c r="B7" i="7" s="1"/>
  <c r="C25" i="7"/>
  <c r="B25" i="7" s="1"/>
  <c r="C31" i="7"/>
  <c r="B31" i="7" s="1"/>
  <c r="C11" i="7"/>
  <c r="B11" i="7" s="1"/>
  <c r="C17" i="7"/>
  <c r="B17" i="7" s="1"/>
  <c r="C16" i="7"/>
  <c r="B16" i="7" s="1"/>
  <c r="C29" i="7"/>
  <c r="B29" i="7" s="1"/>
  <c r="B30" i="7"/>
  <c r="M27" i="6"/>
  <c r="E19" i="3" s="1"/>
  <c r="B20" i="7" l="1"/>
  <c r="C20" i="7"/>
  <c r="BV27" i="3"/>
  <c r="BV28" i="3"/>
  <c r="BV29" i="3"/>
  <c r="BV30" i="3"/>
  <c r="BV31" i="3"/>
  <c r="BV32" i="3"/>
  <c r="BV33" i="3"/>
  <c r="BW33" i="3"/>
  <c r="CY33" i="3" s="1"/>
  <c r="BW34" i="3"/>
  <c r="CY34" i="3" s="1"/>
  <c r="BW35" i="3"/>
  <c r="CY35" i="3" s="1"/>
  <c r="DB35" i="3" s="1"/>
  <c r="BW36" i="3"/>
  <c r="CY36" i="3" s="1"/>
  <c r="BW37" i="3"/>
  <c r="CY37" i="3" s="1"/>
  <c r="DB37" i="3" s="1"/>
  <c r="BW38" i="3"/>
  <c r="CY38" i="3" s="1"/>
  <c r="BW39" i="3"/>
  <c r="CY39" i="3" s="1"/>
  <c r="DB39" i="3" s="1"/>
  <c r="BW40" i="3"/>
  <c r="CY40" i="3" s="1"/>
  <c r="BW41" i="3"/>
  <c r="CY41" i="3" s="1"/>
  <c r="DB41" i="3" s="1"/>
  <c r="BW42" i="3"/>
  <c r="CY42" i="3" s="1"/>
  <c r="BW43" i="3"/>
  <c r="CY43" i="3" s="1"/>
  <c r="DB43" i="3" s="1"/>
  <c r="BW44" i="3"/>
  <c r="CY44" i="3" s="1"/>
  <c r="BW45" i="3"/>
  <c r="T17" i="6"/>
  <c r="G27" i="7" s="1"/>
  <c r="R17" i="6"/>
  <c r="S17" i="6" s="1"/>
  <c r="S27" i="6" s="1"/>
  <c r="N27" i="6"/>
  <c r="G19" i="3" s="1"/>
  <c r="DB33" i="3" l="1"/>
  <c r="M12" i="22"/>
  <c r="DB44" i="3"/>
  <c r="DB40" i="3"/>
  <c r="M16" i="22"/>
  <c r="S16" i="22" s="1"/>
  <c r="DB36" i="3"/>
  <c r="M14" i="22"/>
  <c r="S14" i="22" s="1"/>
  <c r="DB42" i="3"/>
  <c r="M17" i="22"/>
  <c r="S17" i="22" s="1"/>
  <c r="DB38" i="3"/>
  <c r="M15" i="22"/>
  <c r="S15" i="22" s="1"/>
  <c r="DB34" i="3"/>
  <c r="M13" i="22"/>
  <c r="S13" i="22" s="1"/>
  <c r="BV35" i="3"/>
  <c r="BX35" i="3" s="1"/>
  <c r="BV44" i="3"/>
  <c r="BV37" i="3"/>
  <c r="BX37" i="3" s="1"/>
  <c r="BV39" i="3"/>
  <c r="BX39" i="3" s="1"/>
  <c r="BV40" i="3"/>
  <c r="BX40" i="3" s="1"/>
  <c r="BV41" i="3"/>
  <c r="BX41" i="3" s="1"/>
  <c r="BX30" i="3"/>
  <c r="BV45" i="3"/>
  <c r="BV43" i="3"/>
  <c r="BX33" i="3"/>
  <c r="BX29" i="3"/>
  <c r="CB27" i="3"/>
  <c r="CD27" i="3" s="1"/>
  <c r="CB28" i="3"/>
  <c r="CD28" i="3" s="1"/>
  <c r="CB29" i="3"/>
  <c r="CD29" i="3" s="1"/>
  <c r="CB30" i="3"/>
  <c r="CD30" i="3" s="1"/>
  <c r="CB31" i="3"/>
  <c r="CD31" i="3" s="1"/>
  <c r="CB32" i="3"/>
  <c r="CD32" i="3" s="1"/>
  <c r="CB33" i="3"/>
  <c r="CD33" i="3" s="1"/>
  <c r="CB34" i="3"/>
  <c r="CD34" i="3" s="1"/>
  <c r="CB35" i="3"/>
  <c r="CD35" i="3" s="1"/>
  <c r="CB36" i="3"/>
  <c r="CD36" i="3" s="1"/>
  <c r="CB37" i="3"/>
  <c r="CD37" i="3" s="1"/>
  <c r="CB38" i="3"/>
  <c r="CD38" i="3" s="1"/>
  <c r="CB39" i="3"/>
  <c r="CD39" i="3" s="1"/>
  <c r="CB40" i="3"/>
  <c r="CD40" i="3" s="1"/>
  <c r="CB41" i="3"/>
  <c r="CD41" i="3" s="1"/>
  <c r="CB42" i="3"/>
  <c r="CD42" i="3" s="1"/>
  <c r="CB43" i="3"/>
  <c r="CD43" i="3" s="1"/>
  <c r="CB44" i="3"/>
  <c r="CB45" i="3"/>
  <c r="CD45" i="3" s="1"/>
  <c r="CC46" i="3"/>
  <c r="CY46" i="3" s="1"/>
  <c r="CB46" i="3"/>
  <c r="CC47" i="3"/>
  <c r="CY47" i="3" s="1"/>
  <c r="DB47" i="3" s="1"/>
  <c r="CC48" i="3"/>
  <c r="CY48" i="3" s="1"/>
  <c r="CC49" i="3"/>
  <c r="CY49" i="3" s="1"/>
  <c r="DB49" i="3" s="1"/>
  <c r="CC50" i="3"/>
  <c r="CY50" i="3" s="1"/>
  <c r="CC51" i="3"/>
  <c r="CY51" i="3" s="1"/>
  <c r="DB51" i="3" s="1"/>
  <c r="CC52" i="3"/>
  <c r="CY52" i="3" s="1"/>
  <c r="CC53" i="3"/>
  <c r="CY53" i="3" s="1"/>
  <c r="DB53" i="3" s="1"/>
  <c r="CC54" i="3"/>
  <c r="CY54" i="3" s="1"/>
  <c r="CC55" i="3"/>
  <c r="BW78" i="3"/>
  <c r="CY45" i="3"/>
  <c r="M18" i="22" s="1"/>
  <c r="S18" i="22" s="1"/>
  <c r="BV42" i="3"/>
  <c r="BV38" i="3"/>
  <c r="BV36" i="3"/>
  <c r="CX32" i="3"/>
  <c r="BX32" i="3"/>
  <c r="BX28" i="3"/>
  <c r="BV34" i="3"/>
  <c r="BX31" i="3"/>
  <c r="BX27" i="3"/>
  <c r="M27" i="7"/>
  <c r="E27" i="7"/>
  <c r="K27" i="7"/>
  <c r="I27" i="7"/>
  <c r="C27" i="7" l="1"/>
  <c r="BX44" i="3"/>
  <c r="CD44" i="3"/>
  <c r="DB54" i="3"/>
  <c r="DB50" i="3"/>
  <c r="M21" i="22"/>
  <c r="S21" i="22" s="1"/>
  <c r="DB46" i="3"/>
  <c r="M19" i="22"/>
  <c r="S19" i="22" s="1"/>
  <c r="S12" i="22"/>
  <c r="DB52" i="3"/>
  <c r="M22" i="22"/>
  <c r="S22" i="22" s="1"/>
  <c r="M20" i="22"/>
  <c r="S20" i="22" s="1"/>
  <c r="DB48" i="3"/>
  <c r="DB45" i="3"/>
  <c r="CX40" i="3"/>
  <c r="CX41" i="3"/>
  <c r="CX28" i="3"/>
  <c r="CB48" i="3"/>
  <c r="CX48" i="3" s="1"/>
  <c r="CB50" i="3"/>
  <c r="CD50" i="3" s="1"/>
  <c r="CB47" i="3"/>
  <c r="CD47" i="3" s="1"/>
  <c r="CX29" i="3"/>
  <c r="CX31" i="3"/>
  <c r="CX27" i="3"/>
  <c r="CB49" i="3"/>
  <c r="CD49" i="3" s="1"/>
  <c r="CX33" i="3"/>
  <c r="CB54" i="3"/>
  <c r="CX54" i="3" s="1"/>
  <c r="CX38" i="3"/>
  <c r="BX38" i="3"/>
  <c r="CC78" i="3"/>
  <c r="CY55" i="3"/>
  <c r="M23" i="22" s="1"/>
  <c r="S23" i="22" s="1"/>
  <c r="CB51" i="3"/>
  <c r="CX30" i="3"/>
  <c r="CX35" i="3"/>
  <c r="CX39" i="3"/>
  <c r="CZ32" i="3"/>
  <c r="CX34" i="3"/>
  <c r="BX34" i="3"/>
  <c r="CB55" i="3"/>
  <c r="CB53" i="3"/>
  <c r="CX43" i="3"/>
  <c r="BX43" i="3"/>
  <c r="BX36" i="3"/>
  <c r="CX36" i="3"/>
  <c r="BX42" i="3"/>
  <c r="CX42" i="3"/>
  <c r="CB52" i="3"/>
  <c r="CX50" i="3"/>
  <c r="CX46" i="3"/>
  <c r="CD46" i="3"/>
  <c r="BV78" i="3"/>
  <c r="CX45" i="3"/>
  <c r="BX45" i="3"/>
  <c r="CX37" i="3"/>
  <c r="CX44" i="3"/>
  <c r="B27" i="7"/>
  <c r="B33" i="7" s="1"/>
  <c r="CZ45" i="3" l="1"/>
  <c r="CZ40" i="3"/>
  <c r="CZ31" i="3"/>
  <c r="CZ39" i="3"/>
  <c r="CZ37" i="3"/>
  <c r="CZ35" i="3"/>
  <c r="CZ33" i="3"/>
  <c r="CZ29" i="3"/>
  <c r="CZ28" i="3"/>
  <c r="CZ43" i="3"/>
  <c r="L11" i="22"/>
  <c r="R11" i="22" s="1"/>
  <c r="T11" i="22" s="1"/>
  <c r="CZ41" i="3"/>
  <c r="L17" i="22"/>
  <c r="R17" i="22" s="1"/>
  <c r="T17" i="22" s="1"/>
  <c r="S38" i="22"/>
  <c r="M38" i="22"/>
  <c r="D9" i="23" s="1"/>
  <c r="L13" i="22"/>
  <c r="R13" i="22" s="1"/>
  <c r="T13" i="22" s="1"/>
  <c r="CX49" i="3"/>
  <c r="L15" i="22"/>
  <c r="CZ27" i="3"/>
  <c r="L9" i="22"/>
  <c r="L16" i="22"/>
  <c r="L14" i="22"/>
  <c r="L18" i="22"/>
  <c r="L10" i="22"/>
  <c r="L12" i="22"/>
  <c r="CY78" i="3"/>
  <c r="DB55" i="3"/>
  <c r="CX47" i="3"/>
  <c r="CD48" i="3"/>
  <c r="CD54" i="3"/>
  <c r="CZ48" i="3"/>
  <c r="CZ36" i="3"/>
  <c r="CD53" i="3"/>
  <c r="CX53" i="3"/>
  <c r="CD52" i="3"/>
  <c r="CX52" i="3"/>
  <c r="CD51" i="3"/>
  <c r="CX51" i="3"/>
  <c r="CZ38" i="3"/>
  <c r="CZ44" i="3"/>
  <c r="CZ42" i="3"/>
  <c r="CB78" i="3"/>
  <c r="CD55" i="3"/>
  <c r="CX55" i="3"/>
  <c r="CZ54" i="3"/>
  <c r="CZ46" i="3"/>
  <c r="CZ50" i="3"/>
  <c r="CZ34" i="3"/>
  <c r="CZ30" i="3"/>
  <c r="C33" i="7"/>
  <c r="N17" i="22" l="1"/>
  <c r="N11" i="22"/>
  <c r="CZ51" i="3"/>
  <c r="CZ53" i="3"/>
  <c r="CZ49" i="3"/>
  <c r="CZ47" i="3"/>
  <c r="CZ55" i="3"/>
  <c r="D12" i="23"/>
  <c r="D11" i="23" s="1"/>
  <c r="D8" i="23"/>
  <c r="N13" i="22"/>
  <c r="DB78" i="3"/>
  <c r="L22" i="22"/>
  <c r="N22" i="22" s="1"/>
  <c r="L20" i="22"/>
  <c r="N20" i="22" s="1"/>
  <c r="L21" i="22"/>
  <c r="R9" i="22"/>
  <c r="N9" i="22"/>
  <c r="R10" i="22"/>
  <c r="T10" i="22" s="1"/>
  <c r="N10" i="22"/>
  <c r="R12" i="22"/>
  <c r="T12" i="22" s="1"/>
  <c r="N12" i="22"/>
  <c r="R18" i="22"/>
  <c r="T18" i="22" s="1"/>
  <c r="N18" i="22"/>
  <c r="L23" i="22"/>
  <c r="R15" i="22"/>
  <c r="T15" i="22" s="1"/>
  <c r="N15" i="22"/>
  <c r="R14" i="22"/>
  <c r="T14" i="22" s="1"/>
  <c r="N14" i="22"/>
  <c r="R16" i="22"/>
  <c r="T16" i="22" s="1"/>
  <c r="N16" i="22"/>
  <c r="L19" i="22"/>
  <c r="CZ52" i="3"/>
  <c r="CX78" i="3"/>
  <c r="CZ78" i="3" l="1"/>
  <c r="C9" i="23"/>
  <c r="B9" i="23"/>
  <c r="R20" i="22"/>
  <c r="T20" i="22" s="1"/>
  <c r="R22" i="22"/>
  <c r="T22" i="22" s="1"/>
  <c r="T9" i="22"/>
  <c r="N21" i="22"/>
  <c r="R21" i="22"/>
  <c r="T21" i="22" s="1"/>
  <c r="R19" i="22"/>
  <c r="T19" i="22" s="1"/>
  <c r="N19" i="22"/>
  <c r="L38" i="22"/>
  <c r="E9" i="23" s="1"/>
  <c r="R23" i="22"/>
  <c r="T23" i="22" s="1"/>
  <c r="N23" i="22"/>
  <c r="F9" i="23" l="1"/>
  <c r="F8" i="23" s="1"/>
  <c r="E12" i="23"/>
  <c r="E8" i="23"/>
  <c r="B8" i="23"/>
  <c r="B12" i="23"/>
  <c r="B11" i="23" s="1"/>
  <c r="C8" i="23"/>
  <c r="C12" i="23"/>
  <c r="C11" i="23" s="1"/>
  <c r="N38" i="22"/>
  <c r="R38" i="22"/>
  <c r="T38" i="22"/>
  <c r="E11" i="23" l="1"/>
  <c r="F12" i="23"/>
  <c r="F11" i="23" s="1"/>
</calcChain>
</file>

<file path=xl/sharedStrings.xml><?xml version="1.0" encoding="utf-8"?>
<sst xmlns="http://schemas.openxmlformats.org/spreadsheetml/2006/main" count="460" uniqueCount="146">
  <si>
    <t>Semestral</t>
  </si>
  <si>
    <t>USD 2030</t>
  </si>
  <si>
    <t>USD 2035</t>
  </si>
  <si>
    <t>USD 2038</t>
  </si>
  <si>
    <t>USD 2041</t>
  </si>
  <si>
    <t>USD 2046</t>
  </si>
  <si>
    <t>EUR 2030</t>
  </si>
  <si>
    <t>EUR 2035</t>
  </si>
  <si>
    <t>EUR 2038</t>
  </si>
  <si>
    <t>EUR 2041</t>
  </si>
  <si>
    <t>EUR 2046</t>
  </si>
  <si>
    <t>Mensual</t>
  </si>
  <si>
    <t>Trimestral</t>
  </si>
  <si>
    <t>EUR</t>
  </si>
  <si>
    <t>Base de cálculo 30/360</t>
  </si>
  <si>
    <t>CHF</t>
  </si>
  <si>
    <t>Anual</t>
  </si>
  <si>
    <t>Exit yield</t>
  </si>
  <si>
    <t>Características</t>
  </si>
  <si>
    <t>Fecha de emisión</t>
  </si>
  <si>
    <t>Fecha de vencimiento</t>
  </si>
  <si>
    <t>Moneda</t>
  </si>
  <si>
    <t>USD</t>
  </si>
  <si>
    <t>Plazo en años</t>
  </si>
  <si>
    <t>Primer pago de intereses</t>
  </si>
  <si>
    <t>Capitalización</t>
  </si>
  <si>
    <t>no</t>
  </si>
  <si>
    <t>Pago de intereses</t>
  </si>
  <si>
    <t>Primera amortización</t>
  </si>
  <si>
    <t>Valor presente @ exit yield</t>
  </si>
  <si>
    <t>Fecha final de cupón</t>
  </si>
  <si>
    <t>Tasas nominales anuales</t>
  </si>
  <si>
    <t>Fecha cupón</t>
  </si>
  <si>
    <t>Interés</t>
  </si>
  <si>
    <t>Amort.</t>
  </si>
  <si>
    <t>Total (I+K)</t>
  </si>
  <si>
    <t>Valor presente</t>
  </si>
  <si>
    <t>TOTAL</t>
  </si>
  <si>
    <t>Intereses</t>
  </si>
  <si>
    <t>Total</t>
  </si>
  <si>
    <t>Intereses corridos de bonos elegibles al canje</t>
  </si>
  <si>
    <t>Bonos elegibles</t>
  </si>
  <si>
    <t>Tasa</t>
  </si>
  <si>
    <t>Última fecha de pago</t>
  </si>
  <si>
    <t>Frecuencia de pago</t>
  </si>
  <si>
    <t>BIRAD 2023</t>
  </si>
  <si>
    <t>BIRAD 2022</t>
  </si>
  <si>
    <t>BIRAD 2028 (ene)</t>
  </si>
  <si>
    <t>BIRAD 2028 (jul)</t>
  </si>
  <si>
    <t>BIRAD 2048</t>
  </si>
  <si>
    <t>BIRAD 2021</t>
  </si>
  <si>
    <t>BIRAD 2027</t>
  </si>
  <si>
    <t>BIRAD 2036</t>
  </si>
  <si>
    <t>BIRAD 2117</t>
  </si>
  <si>
    <t>BIRAD 2026</t>
  </si>
  <si>
    <t>BIRAD 2046</t>
  </si>
  <si>
    <t>BIRAE 2023</t>
  </si>
  <si>
    <t>BIRAE 2022</t>
  </si>
  <si>
    <t>BIRAE 2027</t>
  </si>
  <si>
    <t>BIRAE 2028</t>
  </si>
  <si>
    <t>BIRAE 2047</t>
  </si>
  <si>
    <t>BIRAF 2020</t>
  </si>
  <si>
    <t>DISCOUNT EUR</t>
  </si>
  <si>
    <t>DISCOUNT USD</t>
  </si>
  <si>
    <t>PAR EUR</t>
  </si>
  <si>
    <t>PAR USD</t>
  </si>
  <si>
    <t>Relación de canje</t>
  </si>
  <si>
    <t>VNO nuevos bonos</t>
  </si>
  <si>
    <t>VNO nuevos bonos (USD)</t>
  </si>
  <si>
    <t>VNO Nuevos bonos ex. PDI</t>
  </si>
  <si>
    <t>CAP</t>
  </si>
  <si>
    <t>Nota: Se asume que los bonos elegibles se canjean por nuevos bonos en la misma moneda.</t>
  </si>
  <si>
    <t>Valor propuesta</t>
  </si>
  <si>
    <t>VPN</t>
  </si>
  <si>
    <t>EY = 10%</t>
  </si>
  <si>
    <t>Promedio</t>
  </si>
  <si>
    <t>en millones de USD</t>
  </si>
  <si>
    <t>Año</t>
  </si>
  <si>
    <t>2049 a 2117</t>
  </si>
  <si>
    <t>TOTALES</t>
  </si>
  <si>
    <t>montos en millones</t>
  </si>
  <si>
    <t>montos en millones; en moneda de origen</t>
  </si>
  <si>
    <t>Fecha de pago</t>
  </si>
  <si>
    <t>Cupón promedio por mes</t>
  </si>
  <si>
    <t>Amortizaciones</t>
  </si>
  <si>
    <t>Intereses corridos
en Moneda de Origen</t>
  </si>
  <si>
    <t>TC (vs. USD)</t>
  </si>
  <si>
    <t>Grupo</t>
  </si>
  <si>
    <t>Intereses 22/4 al 4/9</t>
  </si>
  <si>
    <t>Al 22/4</t>
  </si>
  <si>
    <t>Alocación óptima</t>
  </si>
  <si>
    <t>%</t>
  </si>
  <si>
    <t>Intereses corridos c/100 VNA</t>
  </si>
  <si>
    <t>Periodo 1</t>
  </si>
  <si>
    <t>Periodo 2</t>
  </si>
  <si>
    <t>Bonos elegibles en USD</t>
  </si>
  <si>
    <t>Bonos elegibles en CHF/EUR</t>
  </si>
  <si>
    <t>Incluyendo intereses al 22/4</t>
  </si>
  <si>
    <t>USDI 2029</t>
  </si>
  <si>
    <t>EURI 2029</t>
  </si>
  <si>
    <t>Perfil de vencimientos (en USD)</t>
  </si>
  <si>
    <t>Vida promedio</t>
  </si>
  <si>
    <t>Perfil de vencimientos títulos elegibles y nuevos bonos</t>
  </si>
  <si>
    <t>Elegibles reestructuración legislación extranjera</t>
  </si>
  <si>
    <t>Elegibles reestructuración legislación argentina</t>
  </si>
  <si>
    <t>Total elegibles</t>
  </si>
  <si>
    <t>Total perfil bonos nuevos</t>
  </si>
  <si>
    <t>Legislación argentina</t>
  </si>
  <si>
    <t>Legislación extranjera</t>
  </si>
  <si>
    <t>Perfil actual de los bonos elegibles (reestructuración legislación extranjera + argentina)</t>
  </si>
  <si>
    <t>Perfil bonos nuevos (escenario de aceptación 100% de la reestructuración de deuda ley extranjera y argentina)</t>
  </si>
  <si>
    <t>SERVICIOS TOTALES</t>
  </si>
  <si>
    <t>Legislación extranjera (Acuerdo)</t>
  </si>
  <si>
    <t>Legislación argentina (mismo tratamiento que Acuerdo)</t>
  </si>
  <si>
    <t>Perfil de vencimientos</t>
  </si>
  <si>
    <t>2020-2024</t>
  </si>
  <si>
    <t>2020-2030</t>
  </si>
  <si>
    <t>Perfil total (2020-2117)</t>
  </si>
  <si>
    <t>Servicios totales</t>
  </si>
  <si>
    <t>Principal</t>
  </si>
  <si>
    <t>Perfil actual de los títulos elegibles (I)</t>
  </si>
  <si>
    <t>Nuevo perfil con acuerdo del 4-ago (II)</t>
  </si>
  <si>
    <t>Diferencias (I - II)</t>
  </si>
  <si>
    <t>VPN de los nuevos bonos</t>
  </si>
  <si>
    <t>Perfil de vencimientos de los nuevos bonos</t>
  </si>
  <si>
    <t>Al 4/9</t>
  </si>
  <si>
    <t>Diferencia</t>
  </si>
  <si>
    <t>Títulos elegibles</t>
  </si>
  <si>
    <t>Intereses devengados</t>
  </si>
  <si>
    <t>Nota: el perfil de la deuda actual incluye los intereses vencidos no pagados de los títulos elegibles emitidos bajo legislación extranjera por USD1.670 millones.</t>
  </si>
  <si>
    <t>En millones de USD; incluye reconocimiento de intereses corridos al 4/9</t>
  </si>
  <si>
    <t>Nota: el perfil de la deuda actual incluye en 2020 los intereses vencidos no pagados de los títulos elegibles emitidos bajo legislación extranjera por USD1.670 millones.</t>
  </si>
  <si>
    <t>Acuerdo</t>
  </si>
  <si>
    <t>Tasa de cupón anual. No incluye bonos para reconocimiento de intereses corridos.</t>
  </si>
  <si>
    <t>Argentina I</t>
  </si>
  <si>
    <t>Estructura de cupones de títulos en USD</t>
  </si>
  <si>
    <t>Valor de la propuesta para cada bono elegible</t>
  </si>
  <si>
    <t>VPN de los nuevos bonos y perfil de vencimientos</t>
  </si>
  <si>
    <t>Cada 100 VN de los bonos elegibles</t>
  </si>
  <si>
    <t>VN</t>
  </si>
  <si>
    <t>Monto a emitir en millones de moneda de origen</t>
  </si>
  <si>
    <t>Cuotas de amortización</t>
  </si>
  <si>
    <t>Moneda de origen</t>
  </si>
  <si>
    <t>Monto elegible en moneda de origen</t>
  </si>
  <si>
    <t>Alocación estimada de nuevos bonos</t>
  </si>
  <si>
    <t>Cada 100 VN de bono elegible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</si>
</sst>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0.0%"/>
    <numFmt numFmtId="167" formatCode="0.000%"/>
    <numFmt numFmtId="168" formatCode="#,##0.0_);\(#,##0.0\)"/>
    <numFmt numFmtId="169" formatCode="_ * #,##0_ ;_ * \-#,##0_ ;_ * &quot;-&quot;??_ ;_ @_ "/>
    <numFmt numFmtId="170" formatCode="0.00000"/>
    <numFmt numFmtId="171" formatCode="#,##0.0"/>
    <numFmt numFmtId="172" formatCode="0_ ;\-0\ "/>
    <numFmt numFmtId="173" formatCode="dd/mm/yy;@"/>
    <numFmt numFmtId="174" formatCode="#,##0.0_ ;\-#,##0.0\ "/>
    <numFmt numFmtId="175" formatCode="_-* #,##0_-;\-* #,##0_-;_-* &quot;-&quot;??_-;_-@_-"/>
    <numFmt numFmtId="176" formatCode="_-* #,##0.0_-;\-* #,##0.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3E3E3E"/>
      <name val="Calibri"/>
      <family val="2"/>
      <scheme val="minor"/>
    </font>
    <font>
      <sz val="10"/>
      <color rgb="FF3E3E3E"/>
      <name val="Calibri"/>
      <family val="2"/>
      <scheme val="minor"/>
    </font>
    <font>
      <b/>
      <sz val="10"/>
      <color rgb="FF3E3E3E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color rgb="FF3E3E3E"/>
      <name val="Calibri"/>
      <family val="2"/>
      <scheme val="minor"/>
    </font>
    <font>
      <b/>
      <sz val="10"/>
      <color rgb="FF345AA6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9"/>
      <color rgb="FF3E3E3E"/>
      <name val="Calibri"/>
      <family val="2"/>
      <scheme val="minor"/>
    </font>
    <font>
      <sz val="9"/>
      <color rgb="FF3E3E3E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3E3E3E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282828"/>
      <name val="Calibri"/>
      <family val="2"/>
      <scheme val="minor"/>
    </font>
    <font>
      <sz val="8"/>
      <color rgb="FF28282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7A5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45AA6"/>
        <bgColor indexed="64"/>
      </patternFill>
    </fill>
  </fills>
  <borders count="32">
    <border>
      <left/>
      <right/>
      <top/>
      <bottom/>
      <diagonal/>
    </border>
    <border>
      <left style="thin">
        <color rgb="FF345AA6"/>
      </left>
      <right style="thin">
        <color rgb="FF345AA6"/>
      </right>
      <top style="thin">
        <color rgb="FF345AA6"/>
      </top>
      <bottom style="thin">
        <color rgb="FF345AA6"/>
      </bottom>
      <diagonal/>
    </border>
    <border>
      <left style="thin">
        <color rgb="FF345AA6"/>
      </left>
      <right/>
      <top style="thin">
        <color rgb="FF345AA6"/>
      </top>
      <bottom style="thin">
        <color rgb="FF345AA6"/>
      </bottom>
      <diagonal/>
    </border>
    <border>
      <left/>
      <right/>
      <top style="thin">
        <color rgb="FF345AA6"/>
      </top>
      <bottom style="thin">
        <color rgb="FF345AA6"/>
      </bottom>
      <diagonal/>
    </border>
    <border>
      <left style="thin">
        <color rgb="FF345AA6"/>
      </left>
      <right style="thin">
        <color rgb="FF345AA6"/>
      </right>
      <top style="thin">
        <color rgb="FF345AA6"/>
      </top>
      <bottom/>
      <diagonal/>
    </border>
    <border>
      <left style="thin">
        <color rgb="FF345AA6"/>
      </left>
      <right style="thin">
        <color rgb="FF345AA6"/>
      </right>
      <top/>
      <bottom style="thin">
        <color rgb="FF345AA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45AA6"/>
      </left>
      <right/>
      <top/>
      <bottom/>
      <diagonal/>
    </border>
    <border>
      <left style="thin">
        <color rgb="FF345AA6"/>
      </left>
      <right style="thin">
        <color rgb="FF345AA6"/>
      </right>
      <top/>
      <bottom/>
      <diagonal/>
    </border>
    <border>
      <left style="thin">
        <color rgb="FF345AA6"/>
      </left>
      <right style="thin">
        <color rgb="FF345AA6"/>
      </right>
      <top style="thin">
        <color theme="0"/>
      </top>
      <bottom style="thin">
        <color theme="0"/>
      </bottom>
      <diagonal/>
    </border>
    <border>
      <left style="thin">
        <color rgb="FF345AA6"/>
      </left>
      <right/>
      <top style="thin">
        <color theme="0"/>
      </top>
      <bottom style="thin">
        <color rgb="FF345AA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45AA6"/>
      </left>
      <right/>
      <top/>
      <bottom style="thin">
        <color rgb="FF345AA6"/>
      </bottom>
      <diagonal/>
    </border>
    <border>
      <left/>
      <right/>
      <top/>
      <bottom style="thin">
        <color rgb="FF345AA6"/>
      </bottom>
      <diagonal/>
    </border>
    <border>
      <left/>
      <right style="thin">
        <color rgb="FF345AA6"/>
      </right>
      <top style="thin">
        <color rgb="FF345AA6"/>
      </top>
      <bottom/>
      <diagonal/>
    </border>
    <border>
      <left style="thin">
        <color rgb="FF345AA6"/>
      </left>
      <right/>
      <top style="thin">
        <color rgb="FF345AA6"/>
      </top>
      <bottom/>
      <diagonal/>
    </border>
    <border>
      <left/>
      <right/>
      <top style="thin">
        <color rgb="FF345AA6"/>
      </top>
      <bottom/>
      <diagonal/>
    </border>
    <border>
      <left/>
      <right style="thin">
        <color rgb="FF345AA6"/>
      </right>
      <top/>
      <bottom/>
      <diagonal/>
    </border>
    <border>
      <left/>
      <right style="thin">
        <color rgb="FF345AA6"/>
      </right>
      <top/>
      <bottom style="thin">
        <color rgb="FF345AA6"/>
      </bottom>
      <diagonal/>
    </border>
    <border>
      <left/>
      <right style="thin">
        <color rgb="FF345AA6"/>
      </right>
      <top style="thin">
        <color rgb="FF345AA6"/>
      </top>
      <bottom style="thin">
        <color rgb="FF345AA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3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3" borderId="0" xfId="0" applyFont="1" applyFill="1"/>
    <xf numFmtId="3" fontId="3" fillId="3" borderId="0" xfId="0" applyNumberFormat="1" applyFont="1" applyFill="1"/>
    <xf numFmtId="164" fontId="3" fillId="3" borderId="0" xfId="1" applyFont="1" applyFill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4" fontId="9" fillId="0" borderId="0" xfId="0" applyNumberFormat="1" applyFont="1"/>
    <xf numFmtId="0" fontId="9" fillId="0" borderId="0" xfId="0" applyFont="1"/>
    <xf numFmtId="174" fontId="9" fillId="0" borderId="0" xfId="1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6" fontId="2" fillId="0" borderId="0" xfId="2" applyNumberFormat="1" applyFont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3" fontId="7" fillId="2" borderId="30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3" fontId="7" fillId="2" borderId="29" xfId="0" applyNumberFormat="1" applyFont="1" applyFill="1" applyBorder="1" applyAlignment="1">
      <alignment horizontal="right" vertical="center" wrapText="1"/>
    </xf>
    <xf numFmtId="3" fontId="7" fillId="7" borderId="30" xfId="0" applyNumberFormat="1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right" vertical="center" wrapText="1"/>
    </xf>
    <xf numFmtId="3" fontId="7" fillId="7" borderId="30" xfId="0" applyNumberFormat="1" applyFont="1" applyFill="1" applyBorder="1" applyAlignment="1">
      <alignment horizontal="right" vertical="center" wrapText="1"/>
    </xf>
    <xf numFmtId="169" fontId="9" fillId="0" borderId="14" xfId="3" applyNumberFormat="1" applyFont="1" applyFill="1" applyBorder="1"/>
    <xf numFmtId="0" fontId="9" fillId="0" borderId="0" xfId="0" applyFont="1" applyAlignment="1">
      <alignment vertical="center"/>
    </xf>
    <xf numFmtId="0" fontId="3" fillId="3" borderId="0" xfId="0" applyFont="1" applyFill="1" applyAlignment="1">
      <alignment horizontal="center"/>
    </xf>
    <xf numFmtId="0" fontId="9" fillId="3" borderId="0" xfId="0" applyFont="1" applyFill="1" applyAlignment="1">
      <alignment horizontal="left" vertical="center"/>
    </xf>
    <xf numFmtId="167" fontId="3" fillId="3" borderId="0" xfId="2" applyNumberFormat="1" applyFont="1" applyFill="1" applyBorder="1"/>
    <xf numFmtId="174" fontId="3" fillId="0" borderId="0" xfId="1" applyNumberFormat="1" applyFont="1" applyAlignment="1">
      <alignment horizontal="center"/>
    </xf>
    <xf numFmtId="0" fontId="10" fillId="0" borderId="21" xfId="0" applyFont="1" applyBorder="1" applyAlignment="1">
      <alignment horizontal="center"/>
    </xf>
    <xf numFmtId="166" fontId="9" fillId="3" borderId="14" xfId="2" applyNumberFormat="1" applyFont="1" applyFill="1" applyBorder="1" applyAlignment="1">
      <alignment horizontal="left" vertical="center"/>
    </xf>
    <xf numFmtId="4" fontId="9" fillId="3" borderId="4" xfId="3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10" fillId="0" borderId="22" xfId="0" applyFont="1" applyBorder="1" applyAlignment="1">
      <alignment horizontal="center"/>
    </xf>
    <xf numFmtId="4" fontId="9" fillId="3" borderId="15" xfId="3" applyNumberFormat="1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9" fillId="3" borderId="23" xfId="2" applyNumberFormat="1" applyFont="1" applyFill="1" applyBorder="1" applyAlignment="1">
      <alignment horizontal="left" vertical="center"/>
    </xf>
    <xf numFmtId="4" fontId="9" fillId="3" borderId="5" xfId="3" applyNumberFormat="1" applyFont="1" applyFill="1" applyBorder="1" applyAlignment="1">
      <alignment horizontal="center" vertical="center"/>
    </xf>
    <xf numFmtId="166" fontId="9" fillId="3" borderId="15" xfId="2" applyNumberFormat="1" applyFont="1" applyFill="1" applyBorder="1" applyAlignment="1">
      <alignment horizontal="left" vertical="center"/>
    </xf>
    <xf numFmtId="166" fontId="9" fillId="3" borderId="5" xfId="2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169" fontId="9" fillId="0" borderId="4" xfId="3" applyNumberFormat="1" applyFont="1" applyBorder="1"/>
    <xf numFmtId="3" fontId="9" fillId="5" borderId="26" xfId="0" applyNumberFormat="1" applyFont="1" applyFill="1" applyBorder="1"/>
    <xf numFmtId="3" fontId="9" fillId="0" borderId="27" xfId="0" applyNumberFormat="1" applyFont="1" applyBorder="1"/>
    <xf numFmtId="3" fontId="9" fillId="5" borderId="25" xfId="0" applyNumberFormat="1" applyFont="1" applyFill="1" applyBorder="1"/>
    <xf numFmtId="3" fontId="9" fillId="0" borderId="26" xfId="0" applyNumberFormat="1" applyFont="1" applyBorder="1"/>
    <xf numFmtId="3" fontId="9" fillId="0" borderId="25" xfId="0" applyNumberFormat="1" applyFont="1" applyBorder="1"/>
    <xf numFmtId="169" fontId="9" fillId="0" borderId="25" xfId="3" applyNumberFormat="1" applyFont="1" applyFill="1" applyBorder="1"/>
    <xf numFmtId="0" fontId="9" fillId="0" borderId="15" xfId="0" applyFont="1" applyBorder="1" applyAlignment="1">
      <alignment horizontal="center"/>
    </xf>
    <xf numFmtId="0" fontId="9" fillId="0" borderId="15" xfId="0" applyFont="1" applyBorder="1"/>
    <xf numFmtId="169" fontId="9" fillId="0" borderId="15" xfId="3" applyNumberFormat="1" applyFont="1" applyBorder="1"/>
    <xf numFmtId="3" fontId="9" fillId="5" borderId="14" xfId="0" applyNumberFormat="1" applyFont="1" applyFill="1" applyBorder="1"/>
    <xf numFmtId="3" fontId="9" fillId="0" borderId="0" xfId="0" applyNumberFormat="1" applyFont="1"/>
    <xf numFmtId="3" fontId="9" fillId="5" borderId="28" xfId="0" applyNumberFormat="1" applyFont="1" applyFill="1" applyBorder="1"/>
    <xf numFmtId="3" fontId="9" fillId="0" borderId="14" xfId="0" applyNumberFormat="1" applyFont="1" applyBorder="1"/>
    <xf numFmtId="3" fontId="9" fillId="0" borderId="28" xfId="0" applyNumberFormat="1" applyFont="1" applyBorder="1"/>
    <xf numFmtId="169" fontId="9" fillId="0" borderId="28" xfId="3" applyNumberFormat="1" applyFont="1" applyFill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169" fontId="9" fillId="0" borderId="5" xfId="3" applyNumberFormat="1" applyFont="1" applyBorder="1"/>
    <xf numFmtId="3" fontId="9" fillId="0" borderId="23" xfId="0" applyNumberFormat="1" applyFont="1" applyBorder="1"/>
    <xf numFmtId="3" fontId="9" fillId="0" borderId="24" xfId="0" applyNumberFormat="1" applyFont="1" applyBorder="1"/>
    <xf numFmtId="3" fontId="9" fillId="0" borderId="29" xfId="0" applyNumberFormat="1" applyFont="1" applyBorder="1"/>
    <xf numFmtId="3" fontId="9" fillId="5" borderId="23" xfId="0" applyNumberFormat="1" applyFont="1" applyFill="1" applyBorder="1"/>
    <xf numFmtId="3" fontId="9" fillId="5" borderId="29" xfId="0" applyNumberFormat="1" applyFont="1" applyFill="1" applyBorder="1"/>
    <xf numFmtId="169" fontId="9" fillId="0" borderId="29" xfId="3" applyNumberFormat="1" applyFont="1" applyFill="1" applyBorder="1"/>
    <xf numFmtId="3" fontId="9" fillId="5" borderId="27" xfId="0" applyNumberFormat="1" applyFont="1" applyFill="1" applyBorder="1"/>
    <xf numFmtId="3" fontId="9" fillId="5" borderId="0" xfId="0" applyNumberFormat="1" applyFont="1" applyFill="1"/>
    <xf numFmtId="169" fontId="9" fillId="0" borderId="15" xfId="3" applyNumberFormat="1" applyFont="1" applyFill="1" applyBorder="1"/>
    <xf numFmtId="170" fontId="9" fillId="0" borderId="0" xfId="0" applyNumberFormat="1" applyFont="1"/>
    <xf numFmtId="3" fontId="9" fillId="5" borderId="24" xfId="0" applyNumberFormat="1" applyFont="1" applyFill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14" fontId="9" fillId="0" borderId="15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/>
    </xf>
    <xf numFmtId="14" fontId="9" fillId="0" borderId="15" xfId="2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" fontId="9" fillId="0" borderId="15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1" fontId="9" fillId="0" borderId="16" xfId="3" applyNumberFormat="1" applyFont="1" applyFill="1" applyBorder="1" applyAlignment="1">
      <alignment horizontal="center" vertical="center"/>
    </xf>
    <xf numFmtId="168" fontId="10" fillId="0" borderId="1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7" fontId="9" fillId="0" borderId="15" xfId="2" applyNumberFormat="1" applyFont="1" applyFill="1" applyBorder="1" applyAlignment="1">
      <alignment horizontal="center" vertical="center" wrapText="1"/>
    </xf>
    <xf numFmtId="14" fontId="9" fillId="0" borderId="15" xfId="0" applyNumberFormat="1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right" vertical="center" wrapText="1"/>
    </xf>
    <xf numFmtId="169" fontId="9" fillId="0" borderId="5" xfId="3" applyNumberFormat="1" applyFont="1" applyFill="1" applyBorder="1"/>
    <xf numFmtId="167" fontId="9" fillId="0" borderId="5" xfId="2" applyNumberFormat="1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center" vertical="center"/>
    </xf>
    <xf numFmtId="14" fontId="5" fillId="0" borderId="22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4" fontId="5" fillId="0" borderId="10" xfId="1" applyFont="1" applyFill="1" applyBorder="1" applyAlignment="1">
      <alignment horizontal="center" vertical="center"/>
    </xf>
    <xf numFmtId="164" fontId="5" fillId="0" borderId="9" xfId="1" applyFont="1" applyFill="1" applyBorder="1" applyAlignment="1">
      <alignment horizontal="center" vertical="center"/>
    </xf>
    <xf numFmtId="164" fontId="5" fillId="0" borderId="9" xfId="1" applyFont="1" applyBorder="1" applyAlignment="1">
      <alignment horizontal="center" vertical="center"/>
    </xf>
    <xf numFmtId="164" fontId="5" fillId="0" borderId="0" xfId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9" fontId="5" fillId="0" borderId="9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167" fontId="5" fillId="0" borderId="12" xfId="0" applyNumberFormat="1" applyFont="1" applyBorder="1" applyAlignment="1">
      <alignment vertical="center"/>
    </xf>
    <xf numFmtId="167" fontId="5" fillId="0" borderId="12" xfId="0" applyNumberFormat="1" applyFont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164" fontId="5" fillId="3" borderId="6" xfId="1" applyFont="1" applyFill="1" applyBorder="1" applyAlignment="1">
      <alignment horizontal="center" vertical="center"/>
    </xf>
    <xf numFmtId="164" fontId="5" fillId="3" borderId="0" xfId="1" applyFont="1" applyFill="1" applyAlignment="1">
      <alignment vertical="center"/>
    </xf>
    <xf numFmtId="164" fontId="5" fillId="3" borderId="0" xfId="1" applyFont="1" applyFill="1" applyBorder="1" applyAlignment="1">
      <alignment horizontal="center" vertical="center"/>
    </xf>
    <xf numFmtId="164" fontId="5" fillId="3" borderId="10" xfId="1" applyFont="1" applyFill="1" applyBorder="1" applyAlignment="1">
      <alignment horizontal="center" vertical="center"/>
    </xf>
    <xf numFmtId="164" fontId="5" fillId="3" borderId="9" xfId="1" applyFont="1" applyFill="1" applyBorder="1" applyAlignment="1">
      <alignment horizontal="center" vertical="center"/>
    </xf>
    <xf numFmtId="14" fontId="5" fillId="0" borderId="3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5" fillId="0" borderId="19" xfId="1" applyFont="1" applyBorder="1" applyAlignment="1">
      <alignment horizontal="center" vertical="center"/>
    </xf>
    <xf numFmtId="164" fontId="5" fillId="0" borderId="20" xfId="1" applyFont="1" applyBorder="1" applyAlignment="1">
      <alignment horizontal="center" vertical="center"/>
    </xf>
    <xf numFmtId="164" fontId="5" fillId="0" borderId="18" xfId="1" applyFont="1" applyBorder="1" applyAlignment="1">
      <alignment horizontal="center" vertical="center"/>
    </xf>
    <xf numFmtId="166" fontId="5" fillId="0" borderId="6" xfId="2" applyNumberFormat="1" applyFont="1" applyBorder="1" applyAlignment="1">
      <alignment horizontal="center" vertical="center"/>
    </xf>
    <xf numFmtId="166" fontId="5" fillId="0" borderId="7" xfId="2" applyNumberFormat="1" applyFont="1" applyBorder="1" applyAlignment="1">
      <alignment horizontal="center" vertical="center"/>
    </xf>
    <xf numFmtId="166" fontId="5" fillId="0" borderId="9" xfId="2" applyNumberFormat="1" applyFont="1" applyBorder="1" applyAlignment="1">
      <alignment horizontal="center" vertical="center"/>
    </xf>
    <xf numFmtId="166" fontId="5" fillId="0" borderId="0" xfId="2" applyNumberFormat="1" applyFont="1" applyAlignment="1">
      <alignment horizontal="center" vertical="center"/>
    </xf>
    <xf numFmtId="167" fontId="5" fillId="0" borderId="7" xfId="2" applyNumberFormat="1" applyFont="1" applyBorder="1" applyAlignment="1">
      <alignment horizontal="center" vertical="center"/>
    </xf>
    <xf numFmtId="167" fontId="5" fillId="0" borderId="8" xfId="2" applyNumberFormat="1" applyFont="1" applyBorder="1" applyAlignment="1">
      <alignment horizontal="center" vertical="center"/>
    </xf>
    <xf numFmtId="164" fontId="5" fillId="5" borderId="9" xfId="1" applyFont="1" applyFill="1" applyBorder="1" applyAlignment="1">
      <alignment horizontal="center" vertical="center"/>
    </xf>
    <xf numFmtId="164" fontId="5" fillId="5" borderId="0" xfId="1" applyFont="1" applyFill="1" applyAlignment="1">
      <alignment vertical="center"/>
    </xf>
    <xf numFmtId="164" fontId="5" fillId="5" borderId="0" xfId="1" applyFont="1" applyFill="1" applyBorder="1" applyAlignment="1">
      <alignment horizontal="center" vertical="center"/>
    </xf>
    <xf numFmtId="164" fontId="5" fillId="5" borderId="10" xfId="1" applyFont="1" applyFill="1" applyBorder="1" applyAlignment="1">
      <alignment horizontal="center" vertical="center"/>
    </xf>
    <xf numFmtId="3" fontId="9" fillId="0" borderId="26" xfId="0" applyNumberFormat="1" applyFont="1" applyFill="1" applyBorder="1"/>
    <xf numFmtId="3" fontId="9" fillId="0" borderId="14" xfId="0" applyNumberFormat="1" applyFont="1" applyFill="1" applyBorder="1"/>
    <xf numFmtId="3" fontId="9" fillId="0" borderId="23" xfId="0" applyNumberFormat="1" applyFont="1" applyFill="1" applyBorder="1"/>
    <xf numFmtId="3" fontId="9" fillId="0" borderId="24" xfId="0" applyNumberFormat="1" applyFont="1" applyFill="1" applyBorder="1"/>
    <xf numFmtId="3" fontId="9" fillId="0" borderId="29" xfId="0" applyNumberFormat="1" applyFont="1" applyFill="1" applyBorder="1"/>
    <xf numFmtId="9" fontId="3" fillId="3" borderId="0" xfId="2" applyFont="1" applyFill="1"/>
    <xf numFmtId="9" fontId="3" fillId="3" borderId="0" xfId="2" applyNumberFormat="1" applyFont="1" applyFill="1"/>
    <xf numFmtId="169" fontId="9" fillId="0" borderId="26" xfId="3" applyNumberFormat="1" applyFont="1" applyFill="1" applyBorder="1"/>
    <xf numFmtId="169" fontId="9" fillId="0" borderId="23" xfId="3" applyNumberFormat="1" applyFont="1" applyFill="1" applyBorder="1"/>
    <xf numFmtId="174" fontId="7" fillId="2" borderId="4" xfId="1" applyNumberFormat="1" applyFont="1" applyFill="1" applyBorder="1" applyAlignment="1">
      <alignment horizontal="center" vertical="center" wrapText="1"/>
    </xf>
    <xf numFmtId="171" fontId="9" fillId="3" borderId="4" xfId="3" applyNumberFormat="1" applyFont="1" applyFill="1" applyBorder="1" applyAlignment="1">
      <alignment horizontal="center" vertical="center"/>
    </xf>
    <xf numFmtId="171" fontId="9" fillId="3" borderId="15" xfId="3" applyNumberFormat="1" applyFont="1" applyFill="1" applyBorder="1" applyAlignment="1">
      <alignment horizontal="center" vertical="center"/>
    </xf>
    <xf numFmtId="171" fontId="9" fillId="3" borderId="5" xfId="3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9" fillId="0" borderId="15" xfId="1" applyFont="1" applyFill="1" applyBorder="1" applyAlignment="1">
      <alignment vertical="center" wrapText="1"/>
    </xf>
    <xf numFmtId="164" fontId="9" fillId="0" borderId="5" xfId="1" applyFont="1" applyFill="1" applyBorder="1" applyAlignment="1">
      <alignment vertical="center" wrapText="1"/>
    </xf>
    <xf numFmtId="4" fontId="9" fillId="3" borderId="25" xfId="3" applyNumberFormat="1" applyFont="1" applyFill="1" applyBorder="1" applyAlignment="1">
      <alignment horizontal="center" vertical="center"/>
    </xf>
    <xf numFmtId="4" fontId="9" fillId="3" borderId="28" xfId="3" applyNumberFormat="1" applyFont="1" applyFill="1" applyBorder="1" applyAlignment="1">
      <alignment horizontal="center" vertical="center"/>
    </xf>
    <xf numFmtId="4" fontId="9" fillId="3" borderId="29" xfId="3" applyNumberFormat="1" applyFont="1" applyFill="1" applyBorder="1" applyAlignment="1">
      <alignment horizontal="center" vertical="center"/>
    </xf>
    <xf numFmtId="165" fontId="9" fillId="3" borderId="4" xfId="3" applyNumberFormat="1" applyFont="1" applyFill="1" applyBorder="1" applyAlignment="1">
      <alignment horizontal="center" vertical="center"/>
    </xf>
    <xf numFmtId="165" fontId="9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65" fontId="10" fillId="5" borderId="21" xfId="0" applyNumberFormat="1" applyFont="1" applyFill="1" applyBorder="1" applyAlignment="1">
      <alignment horizontal="center" vertical="center"/>
    </xf>
    <xf numFmtId="165" fontId="9" fillId="5" borderId="22" xfId="0" applyNumberFormat="1" applyFont="1" applyFill="1" applyBorder="1" applyAlignment="1">
      <alignment horizontal="center"/>
    </xf>
    <xf numFmtId="165" fontId="9" fillId="5" borderId="31" xfId="0" applyNumberFormat="1" applyFont="1" applyFill="1" applyBorder="1" applyAlignment="1">
      <alignment horizontal="center"/>
    </xf>
    <xf numFmtId="165" fontId="9" fillId="5" borderId="21" xfId="0" applyNumberFormat="1" applyFont="1" applyFill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164" fontId="9" fillId="0" borderId="0" xfId="1" applyFont="1" applyBorder="1" applyAlignment="1">
      <alignment vertical="center"/>
    </xf>
    <xf numFmtId="164" fontId="9" fillId="0" borderId="0" xfId="1" applyFont="1" applyBorder="1" applyAlignment="1">
      <alignment horizontal="center" vertical="center"/>
    </xf>
    <xf numFmtId="173" fontId="9" fillId="0" borderId="0" xfId="1" applyNumberFormat="1" applyFont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165" fontId="9" fillId="3" borderId="4" xfId="1" applyNumberFormat="1" applyFont="1" applyFill="1" applyBorder="1" applyAlignment="1">
      <alignment horizontal="center" vertical="center"/>
    </xf>
    <xf numFmtId="165" fontId="9" fillId="3" borderId="15" xfId="1" applyNumberFormat="1" applyFont="1" applyFill="1" applyBorder="1" applyAlignment="1">
      <alignment horizontal="center" vertical="center"/>
    </xf>
    <xf numFmtId="165" fontId="9" fillId="3" borderId="15" xfId="3" applyNumberFormat="1" applyFont="1" applyFill="1" applyBorder="1" applyAlignment="1">
      <alignment horizontal="center" vertical="center"/>
    </xf>
    <xf numFmtId="165" fontId="9" fillId="3" borderId="5" xfId="1" applyNumberFormat="1" applyFont="1" applyFill="1" applyBorder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/>
    </xf>
    <xf numFmtId="9" fontId="3" fillId="0" borderId="0" xfId="0" applyNumberFormat="1" applyFont="1" applyAlignment="1">
      <alignment vertical="center"/>
    </xf>
    <xf numFmtId="164" fontId="5" fillId="3" borderId="7" xfId="1" applyFont="1" applyFill="1" applyBorder="1" applyAlignment="1">
      <alignment vertical="center"/>
    </xf>
    <xf numFmtId="164" fontId="5" fillId="3" borderId="8" xfId="1" applyFont="1" applyFill="1" applyBorder="1" applyAlignment="1">
      <alignment horizontal="center" vertical="center"/>
    </xf>
    <xf numFmtId="164" fontId="5" fillId="3" borderId="0" xfId="1" applyFont="1" applyFill="1" applyBorder="1" applyAlignment="1">
      <alignment vertical="center"/>
    </xf>
    <xf numFmtId="164" fontId="5" fillId="5" borderId="0" xfId="1" applyFont="1" applyFill="1" applyBorder="1" applyAlignment="1">
      <alignment vertical="center"/>
    </xf>
    <xf numFmtId="164" fontId="5" fillId="0" borderId="10" xfId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" fontId="6" fillId="0" borderId="18" xfId="1" applyNumberFormat="1" applyFont="1" applyBorder="1" applyAlignment="1">
      <alignment horizontal="center" vertical="center"/>
    </xf>
    <xf numFmtId="164" fontId="5" fillId="0" borderId="6" xfId="1" applyFont="1" applyBorder="1" applyAlignment="1"/>
    <xf numFmtId="175" fontId="5" fillId="0" borderId="8" xfId="1" applyNumberFormat="1" applyFont="1" applyBorder="1" applyAlignment="1">
      <alignment vertical="center"/>
    </xf>
    <xf numFmtId="164" fontId="5" fillId="0" borderId="9" xfId="1" applyFont="1" applyBorder="1" applyAlignment="1">
      <alignment vertical="center"/>
    </xf>
    <xf numFmtId="175" fontId="5" fillId="0" borderId="10" xfId="1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0" fontId="16" fillId="0" borderId="0" xfId="0" applyFont="1"/>
    <xf numFmtId="0" fontId="17" fillId="0" borderId="0" xfId="0" applyFont="1"/>
    <xf numFmtId="1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wrapText="1"/>
    </xf>
    <xf numFmtId="14" fontId="17" fillId="5" borderId="1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172" fontId="17" fillId="0" borderId="15" xfId="0" applyNumberFormat="1" applyFont="1" applyBorder="1" applyAlignment="1">
      <alignment horizontal="center"/>
    </xf>
    <xf numFmtId="169" fontId="17" fillId="0" borderId="14" xfId="3" applyNumberFormat="1" applyFont="1" applyBorder="1"/>
    <xf numFmtId="169" fontId="17" fillId="0" borderId="0" xfId="3" applyNumberFormat="1" applyFont="1" applyBorder="1"/>
    <xf numFmtId="169" fontId="17" fillId="0" borderId="28" xfId="3" applyNumberFormat="1" applyFont="1" applyBorder="1"/>
    <xf numFmtId="169" fontId="17" fillId="0" borderId="14" xfId="3" applyNumberFormat="1" applyFont="1" applyFill="1" applyBorder="1"/>
    <xf numFmtId="169" fontId="17" fillId="0" borderId="28" xfId="0" applyNumberFormat="1" applyFont="1" applyBorder="1"/>
    <xf numFmtId="0" fontId="19" fillId="2" borderId="1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right" vertical="center" wrapText="1"/>
    </xf>
    <xf numFmtId="3" fontId="19" fillId="2" borderId="3" xfId="0" applyNumberFormat="1" applyFont="1" applyFill="1" applyBorder="1" applyAlignment="1">
      <alignment horizontal="right" vertical="center" wrapText="1"/>
    </xf>
    <xf numFmtId="3" fontId="19" fillId="2" borderId="30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9" fontId="17" fillId="0" borderId="0" xfId="3" applyNumberFormat="1" applyFont="1" applyFill="1" applyBorder="1"/>
    <xf numFmtId="3" fontId="19" fillId="0" borderId="0" xfId="0" applyNumberFormat="1" applyFont="1" applyAlignment="1">
      <alignment horizontal="right" vertical="center" wrapText="1"/>
    </xf>
    <xf numFmtId="0" fontId="22" fillId="0" borderId="0" xfId="0" applyFont="1"/>
    <xf numFmtId="0" fontId="21" fillId="0" borderId="0" xfId="0" applyFont="1" applyAlignment="1">
      <alignment vertical="center"/>
    </xf>
    <xf numFmtId="9" fontId="22" fillId="0" borderId="0" xfId="2" applyFont="1"/>
    <xf numFmtId="10" fontId="3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171" fontId="21" fillId="0" borderId="0" xfId="0" applyNumberFormat="1" applyFont="1" applyFill="1"/>
    <xf numFmtId="3" fontId="21" fillId="0" borderId="0" xfId="0" applyNumberFormat="1" applyFont="1" applyFill="1"/>
    <xf numFmtId="171" fontId="23" fillId="0" borderId="0" xfId="0" applyNumberFormat="1" applyFont="1" applyFill="1"/>
    <xf numFmtId="3" fontId="23" fillId="0" borderId="0" xfId="0" applyNumberFormat="1" applyFont="1" applyFill="1"/>
    <xf numFmtId="0" fontId="17" fillId="0" borderId="0" xfId="0" applyFont="1" applyFill="1"/>
    <xf numFmtId="166" fontId="5" fillId="0" borderId="9" xfId="2" applyNumberFormat="1" applyFont="1" applyFill="1" applyBorder="1" applyAlignment="1">
      <alignment horizontal="center" vertical="center"/>
    </xf>
    <xf numFmtId="166" fontId="5" fillId="0" borderId="0" xfId="2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167" fontId="3" fillId="3" borderId="24" xfId="2" applyNumberFormat="1" applyFont="1" applyFill="1" applyBorder="1"/>
    <xf numFmtId="167" fontId="3" fillId="3" borderId="28" xfId="2" applyNumberFormat="1" applyFont="1" applyFill="1" applyBorder="1"/>
    <xf numFmtId="167" fontId="3" fillId="3" borderId="29" xfId="2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17" fontId="3" fillId="3" borderId="15" xfId="0" applyNumberFormat="1" applyFont="1" applyFill="1" applyBorder="1" applyAlignment="1">
      <alignment horizontal="center"/>
    </xf>
    <xf numFmtId="17" fontId="3" fillId="3" borderId="5" xfId="0" applyNumberFormat="1" applyFont="1" applyFill="1" applyBorder="1" applyAlignment="1">
      <alignment horizontal="center"/>
    </xf>
    <xf numFmtId="17" fontId="3" fillId="3" borderId="4" xfId="0" applyNumberFormat="1" applyFont="1" applyFill="1" applyBorder="1" applyAlignment="1">
      <alignment horizontal="center"/>
    </xf>
    <xf numFmtId="167" fontId="3" fillId="3" borderId="27" xfId="2" applyNumberFormat="1" applyFont="1" applyFill="1" applyBorder="1"/>
    <xf numFmtId="167" fontId="3" fillId="3" borderId="25" xfId="2" applyNumberFormat="1" applyFont="1" applyFill="1" applyBorder="1"/>
    <xf numFmtId="167" fontId="3" fillId="3" borderId="26" xfId="2" applyNumberFormat="1" applyFont="1" applyFill="1" applyBorder="1"/>
    <xf numFmtId="167" fontId="3" fillId="3" borderId="14" xfId="2" applyNumberFormat="1" applyFont="1" applyFill="1" applyBorder="1"/>
    <xf numFmtId="167" fontId="3" fillId="3" borderId="23" xfId="2" applyNumberFormat="1" applyFont="1" applyFill="1" applyBorder="1"/>
    <xf numFmtId="169" fontId="9" fillId="0" borderId="15" xfId="3" applyNumberFormat="1" applyFont="1" applyFill="1" applyBorder="1" applyAlignment="1">
      <alignment horizontal="center"/>
    </xf>
    <xf numFmtId="169" fontId="9" fillId="0" borderId="5" xfId="3" applyNumberFormat="1" applyFont="1" applyFill="1" applyBorder="1" applyAlignment="1">
      <alignment horizontal="center"/>
    </xf>
    <xf numFmtId="43" fontId="2" fillId="0" borderId="0" xfId="0" applyNumberFormat="1" applyFont="1" applyAlignment="1">
      <alignment horizontal="center" vertical="center" wrapText="1"/>
    </xf>
    <xf numFmtId="166" fontId="22" fillId="0" borderId="0" xfId="2" applyNumberFormat="1" applyFont="1"/>
    <xf numFmtId="3" fontId="22" fillId="0" borderId="0" xfId="0" applyNumberFormat="1" applyFont="1"/>
    <xf numFmtId="171" fontId="24" fillId="2" borderId="4" xfId="0" applyNumberFormat="1" applyFont="1" applyFill="1" applyBorder="1" applyAlignment="1">
      <alignment horizontal="center" vertical="center" wrapText="1"/>
    </xf>
    <xf numFmtId="171" fontId="24" fillId="2" borderId="5" xfId="0" applyNumberFormat="1" applyFont="1" applyFill="1" applyBorder="1" applyAlignment="1">
      <alignment horizontal="center" vertical="center" wrapText="1"/>
    </xf>
    <xf numFmtId="174" fontId="7" fillId="2" borderId="4" xfId="1" applyNumberFormat="1" applyFont="1" applyFill="1" applyBorder="1" applyAlignment="1">
      <alignment horizontal="center" vertical="center" wrapText="1"/>
    </xf>
    <xf numFmtId="174" fontId="7" fillId="2" borderId="5" xfId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4" fontId="7" fillId="2" borderId="2" xfId="1" applyNumberFormat="1" applyFont="1" applyFill="1" applyBorder="1" applyAlignment="1">
      <alignment horizontal="center" vertical="center" wrapText="1"/>
    </xf>
    <xf numFmtId="174" fontId="7" fillId="2" borderId="3" xfId="1" applyNumberFormat="1" applyFont="1" applyFill="1" applyBorder="1" applyAlignment="1">
      <alignment horizontal="center" vertical="center" wrapText="1"/>
    </xf>
    <xf numFmtId="174" fontId="7" fillId="2" borderId="30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4" fontId="7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9" fillId="8" borderId="3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30" xfId="0" applyNumberFormat="1" applyFont="1" applyFill="1" applyBorder="1" applyAlignment="1">
      <alignment horizontal="center" vertical="center" wrapText="1"/>
    </xf>
    <xf numFmtId="3" fontId="7" fillId="7" borderId="27" xfId="0" applyNumberFormat="1" applyFont="1" applyFill="1" applyBorder="1" applyAlignment="1">
      <alignment horizontal="center" vertical="center" wrapText="1"/>
    </xf>
    <xf numFmtId="3" fontId="7" fillId="7" borderId="25" xfId="0" applyNumberFormat="1" applyFont="1" applyFill="1" applyBorder="1" applyAlignment="1">
      <alignment horizontal="center" vertical="center" wrapText="1"/>
    </xf>
    <xf numFmtId="171" fontId="24" fillId="2" borderId="1" xfId="0" applyNumberFormat="1" applyFont="1" applyFill="1" applyBorder="1" applyAlignment="1">
      <alignment horizontal="center" vertical="center" wrapText="1"/>
    </xf>
    <xf numFmtId="171" fontId="24" fillId="2" borderId="2" xfId="0" applyNumberFormat="1" applyFont="1" applyFill="1" applyBorder="1" applyAlignment="1">
      <alignment horizontal="center" vertical="center" wrapText="1"/>
    </xf>
    <xf numFmtId="171" fontId="24" fillId="2" borderId="3" xfId="0" applyNumberFormat="1" applyFont="1" applyFill="1" applyBorder="1" applyAlignment="1">
      <alignment horizontal="center" vertical="center" wrapText="1"/>
    </xf>
    <xf numFmtId="171" fontId="24" fillId="2" borderId="30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vertical="center"/>
    </xf>
    <xf numFmtId="3" fontId="26" fillId="5" borderId="1" xfId="0" applyNumberFormat="1" applyFont="1" applyFill="1" applyBorder="1" applyAlignment="1">
      <alignment vertical="center"/>
    </xf>
    <xf numFmtId="0" fontId="27" fillId="0" borderId="26" xfId="0" applyFont="1" applyBorder="1" applyAlignment="1">
      <alignment horizontal="left" vertical="center" indent="2"/>
    </xf>
    <xf numFmtId="3" fontId="27" fillId="0" borderId="4" xfId="0" applyNumberFormat="1" applyFont="1" applyBorder="1" applyAlignment="1">
      <alignment vertical="center"/>
    </xf>
    <xf numFmtId="3" fontId="27" fillId="0" borderId="25" xfId="0" applyNumberFormat="1" applyFont="1" applyBorder="1" applyAlignment="1">
      <alignment vertical="center"/>
    </xf>
    <xf numFmtId="0" fontId="27" fillId="0" borderId="23" xfId="0" applyFont="1" applyBorder="1" applyAlignment="1">
      <alignment horizontal="left" vertical="center" indent="2"/>
    </xf>
    <xf numFmtId="3" fontId="27" fillId="0" borderId="5" xfId="0" applyNumberFormat="1" applyFont="1" applyBorder="1" applyAlignment="1">
      <alignment vertical="center"/>
    </xf>
    <xf numFmtId="3" fontId="27" fillId="0" borderId="29" xfId="0" applyNumberFormat="1" applyFont="1" applyBorder="1" applyAlignment="1">
      <alignment vertical="center"/>
    </xf>
  </cellXfs>
  <cellStyles count="7">
    <cellStyle name="Millares" xfId="1" builtinId="3"/>
    <cellStyle name="Millares 2" xfId="3" xr:uid="{1B5D5195-CCA8-40D6-BD9E-FB04F640A0D5}"/>
    <cellStyle name="Millares 2 2" xfId="4" xr:uid="{EC96995A-6D5D-44DC-BE89-5B12FBE11FC7}"/>
    <cellStyle name="Millares 2 2 2" xfId="5" xr:uid="{327A278E-EBB2-40DF-BD2C-CEB8324AC9D5}"/>
    <cellStyle name="Normal" xfId="0" builtinId="0"/>
    <cellStyle name="Normal 141 2" xfId="6" xr:uid="{34C7BCAA-0DB3-4F38-AD6C-901FFFA9D73D}"/>
    <cellStyle name="Porcentaje" xfId="2" builtinId="5"/>
  </cellStyles>
  <dxfs count="0"/>
  <tableStyles count="0" defaultTableStyle="TableStyleMedium2" defaultPivotStyle="PivotStyleLight16"/>
  <colors>
    <mruColors>
      <color rgb="FF345AA6"/>
      <color rgb="FFF2F2F2"/>
      <color rgb="FF339966"/>
      <color rgb="FF008080"/>
      <color rgb="FF3E3E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3.8\secretar&#237;a%20finanzas\0INFORMA\Programas%20Financieros\Pmg%202009\Consolidado2009%20ver%2014-07-1%20Teso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</sheetNames>
    <sheetDataSet>
      <sheetData sheetId="0" refreshError="1"/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 Fin."/>
      <sheetName val="pesos"/>
      <sheetName val="dolares"/>
      <sheetName val="RESUMEN "/>
      <sheetName val="dolares cosentino"/>
    </sheetNames>
    <sheetDataSet>
      <sheetData sheetId="0" refreshError="1">
        <row r="1">
          <cell r="E1" t="str">
            <v xml:space="preserve">I TRIM. </v>
          </cell>
          <cell r="I1" t="str">
            <v>II TRIM</v>
          </cell>
          <cell r="J1" t="str">
            <v xml:space="preserve">I SEM </v>
          </cell>
          <cell r="N1" t="str">
            <v xml:space="preserve">III TRIM </v>
          </cell>
          <cell r="R1" t="str">
            <v>IV TRIM</v>
          </cell>
          <cell r="S1" t="str">
            <v>II SEM</v>
          </cell>
        </row>
        <row r="3">
          <cell r="E3">
            <v>11136.157385710585</v>
          </cell>
          <cell r="I3">
            <v>-6015.7447552821868</v>
          </cell>
          <cell r="J3">
            <v>11136.157385710585</v>
          </cell>
          <cell r="N3">
            <v>2609.2660964269198</v>
          </cell>
          <cell r="R3">
            <v>-10688.165500810494</v>
          </cell>
          <cell r="S3">
            <v>2609.2660964269198</v>
          </cell>
        </row>
        <row r="5">
          <cell r="E5">
            <v>26350.808121834471</v>
          </cell>
          <cell r="I5">
            <v>44439.368716526878</v>
          </cell>
          <cell r="J5">
            <v>70790.176838361353</v>
          </cell>
          <cell r="N5">
            <v>14563.912527213753</v>
          </cell>
          <cell r="R5">
            <v>28463.269178655319</v>
          </cell>
          <cell r="S5">
            <v>43027.181705869072</v>
          </cell>
        </row>
        <row r="7">
          <cell r="E7">
            <v>1040.5000000000027</v>
          </cell>
          <cell r="I7">
            <v>3894.1999999999935</v>
          </cell>
          <cell r="J7">
            <v>4934.6999999999962</v>
          </cell>
          <cell r="N7">
            <v>-2083.3340585442038</v>
          </cell>
          <cell r="R7">
            <v>-1438.0519999999979</v>
          </cell>
          <cell r="S7">
            <v>-3521.3860585442017</v>
          </cell>
        </row>
        <row r="8">
          <cell r="E8">
            <v>24734.100000000002</v>
          </cell>
          <cell r="I8">
            <v>32006.099999999991</v>
          </cell>
          <cell r="J8">
            <v>56740.2</v>
          </cell>
          <cell r="N8">
            <v>28066.534327933492</v>
          </cell>
          <cell r="R8">
            <v>30268.175000000003</v>
          </cell>
          <cell r="S8">
            <v>58334.709327933495</v>
          </cell>
        </row>
        <row r="9">
          <cell r="A9" t="str">
            <v xml:space="preserve">        Tributarios</v>
          </cell>
          <cell r="B9">
            <v>8189.1</v>
          </cell>
          <cell r="C9">
            <v>8110.3</v>
          </cell>
          <cell r="D9">
            <v>7848.1</v>
          </cell>
          <cell r="E9">
            <v>24147.5</v>
          </cell>
          <cell r="F9">
            <v>8592.2999999999993</v>
          </cell>
          <cell r="G9">
            <v>9596.6</v>
          </cell>
          <cell r="H9">
            <v>10141.299999999999</v>
          </cell>
          <cell r="I9">
            <v>28330.2</v>
          </cell>
          <cell r="J9">
            <v>52477.7</v>
          </cell>
          <cell r="K9">
            <v>9055.8259946001526</v>
          </cell>
          <cell r="L9">
            <v>9326.4000000000015</v>
          </cell>
          <cell r="M9">
            <v>9079.9</v>
          </cell>
          <cell r="N9">
            <v>27462.125994600152</v>
          </cell>
          <cell r="O9">
            <v>9520</v>
          </cell>
          <cell r="P9">
            <v>9410.3000000000011</v>
          </cell>
          <cell r="Q9">
            <v>9333.4</v>
          </cell>
          <cell r="R9">
            <v>28263.700000000004</v>
          </cell>
          <cell r="S9">
            <v>55725.825994600156</v>
          </cell>
          <cell r="T9">
            <v>108203.52599460015</v>
          </cell>
          <cell r="U9">
            <v>74001.100000000006</v>
          </cell>
          <cell r="V9">
            <v>-34202.42599460014</v>
          </cell>
        </row>
        <row r="10">
          <cell r="A10" t="str">
            <v xml:space="preserve">        No Tributarios</v>
          </cell>
          <cell r="B10">
            <v>9.3000000000000007</v>
          </cell>
          <cell r="C10">
            <v>8.5</v>
          </cell>
          <cell r="D10">
            <v>68.7</v>
          </cell>
          <cell r="E10">
            <v>86.5</v>
          </cell>
          <cell r="F10">
            <v>24.8</v>
          </cell>
          <cell r="G10">
            <v>8.3000000000000007</v>
          </cell>
          <cell r="H10">
            <v>73.599999999999994</v>
          </cell>
          <cell r="I10">
            <v>106.69999999999999</v>
          </cell>
          <cell r="J10">
            <v>193.2</v>
          </cell>
          <cell r="K10">
            <v>20.6</v>
          </cell>
          <cell r="L10">
            <v>20.6</v>
          </cell>
          <cell r="M10">
            <v>20.641666666666666</v>
          </cell>
          <cell r="N10">
            <v>61.841666666666669</v>
          </cell>
          <cell r="O10">
            <v>20.641666666666666</v>
          </cell>
          <cell r="P10">
            <v>20.641666666666666</v>
          </cell>
          <cell r="Q10">
            <v>20.641666666666666</v>
          </cell>
          <cell r="R10">
            <v>61.924999999999997</v>
          </cell>
          <cell r="S10">
            <v>123.76666666666667</v>
          </cell>
          <cell r="T10">
            <v>316.96666666666664</v>
          </cell>
          <cell r="U10">
            <v>174.4</v>
          </cell>
          <cell r="V10">
            <v>-142.56666666666663</v>
          </cell>
        </row>
        <row r="11">
          <cell r="A11" t="str">
            <v xml:space="preserve">        Venta de bienes y servicios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</row>
        <row r="12">
          <cell r="A12" t="str">
            <v xml:space="preserve">        Rentas de la Propiedad</v>
          </cell>
          <cell r="B12">
            <v>51.7</v>
          </cell>
          <cell r="C12">
            <v>75.099999999999994</v>
          </cell>
          <cell r="D12">
            <v>71.5</v>
          </cell>
          <cell r="E12">
            <v>198.3</v>
          </cell>
          <cell r="F12">
            <v>83</v>
          </cell>
          <cell r="G12">
            <v>68.3</v>
          </cell>
          <cell r="H12">
            <v>3147.4</v>
          </cell>
          <cell r="I12">
            <v>3298.7000000000003</v>
          </cell>
          <cell r="J12">
            <v>3497.0000000000005</v>
          </cell>
          <cell r="K12">
            <v>56.7</v>
          </cell>
          <cell r="L12">
            <v>56.7</v>
          </cell>
          <cell r="M12">
            <v>56.691666666666663</v>
          </cell>
          <cell r="N12">
            <v>170.09166666666667</v>
          </cell>
          <cell r="O12">
            <v>56.691666666666663</v>
          </cell>
          <cell r="P12">
            <v>56.691666666666663</v>
          </cell>
          <cell r="Q12">
            <v>1456.6916666666666</v>
          </cell>
          <cell r="R12">
            <v>1570.0749999999998</v>
          </cell>
          <cell r="S12">
            <v>1740.1666666666665</v>
          </cell>
          <cell r="T12">
            <v>5237.166666666667</v>
          </cell>
          <cell r="U12">
            <v>1243.8</v>
          </cell>
          <cell r="V12">
            <v>-3993.3666666666668</v>
          </cell>
        </row>
        <row r="13">
          <cell r="A13" t="str">
            <v xml:space="preserve">        Transferencias</v>
          </cell>
          <cell r="B13">
            <v>18</v>
          </cell>
          <cell r="C13">
            <v>32.700000000000003</v>
          </cell>
          <cell r="D13">
            <v>28.5</v>
          </cell>
          <cell r="E13">
            <v>79.2</v>
          </cell>
          <cell r="F13">
            <v>42.8</v>
          </cell>
          <cell r="G13">
            <v>20.3</v>
          </cell>
          <cell r="H13">
            <v>29.6</v>
          </cell>
          <cell r="I13">
            <v>92.699999999999989</v>
          </cell>
          <cell r="J13">
            <v>171.89999999999998</v>
          </cell>
          <cell r="K13">
            <v>40</v>
          </cell>
          <cell r="L13">
            <v>40</v>
          </cell>
          <cell r="M13">
            <v>40</v>
          </cell>
          <cell r="N13">
            <v>120</v>
          </cell>
          <cell r="O13">
            <v>40</v>
          </cell>
          <cell r="P13">
            <v>40</v>
          </cell>
          <cell r="Q13">
            <v>40</v>
          </cell>
          <cell r="R13">
            <v>120</v>
          </cell>
          <cell r="S13">
            <v>240</v>
          </cell>
          <cell r="T13">
            <v>411.9</v>
          </cell>
          <cell r="U13">
            <v>208.6</v>
          </cell>
          <cell r="V13">
            <v>-203.29999999999998</v>
          </cell>
        </row>
        <row r="14">
          <cell r="A14" t="str">
            <v xml:space="preserve">        Contribuciones Figurativas</v>
          </cell>
          <cell r="B14">
            <v>58.2</v>
          </cell>
          <cell r="C14">
            <v>30</v>
          </cell>
          <cell r="D14">
            <v>134</v>
          </cell>
          <cell r="E14">
            <v>222.2</v>
          </cell>
          <cell r="F14">
            <v>31.5</v>
          </cell>
          <cell r="G14">
            <v>101.8</v>
          </cell>
          <cell r="H14">
            <v>43.3</v>
          </cell>
          <cell r="I14">
            <v>176.60000000000002</v>
          </cell>
          <cell r="J14">
            <v>398.8</v>
          </cell>
          <cell r="K14">
            <v>0</v>
          </cell>
          <cell r="L14">
            <v>0</v>
          </cell>
          <cell r="M14">
            <v>214.97499999999999</v>
          </cell>
          <cell r="N14">
            <v>214.97499999999999</v>
          </cell>
          <cell r="O14">
            <v>0</v>
          </cell>
          <cell r="P14">
            <v>0</v>
          </cell>
          <cell r="Q14">
            <v>214.97499999999999</v>
          </cell>
          <cell r="R14">
            <v>214.97499999999999</v>
          </cell>
          <cell r="S14">
            <v>429.95</v>
          </cell>
          <cell r="T14">
            <v>828.75</v>
          </cell>
          <cell r="U14">
            <v>960.4</v>
          </cell>
          <cell r="V14">
            <v>131.64999999999998</v>
          </cell>
        </row>
        <row r="15">
          <cell r="E15">
            <v>0.4</v>
          </cell>
          <cell r="I15">
            <v>1.2</v>
          </cell>
          <cell r="J15">
            <v>1.6</v>
          </cell>
          <cell r="N15">
            <v>37.5</v>
          </cell>
          <cell r="R15">
            <v>37.5</v>
          </cell>
          <cell r="S15">
            <v>75</v>
          </cell>
        </row>
        <row r="16">
          <cell r="E16">
            <v>23693.599999999999</v>
          </cell>
          <cell r="I16">
            <v>28111.9</v>
          </cell>
          <cell r="J16">
            <v>51805.5</v>
          </cell>
          <cell r="N16">
            <v>30149.868386477698</v>
          </cell>
          <cell r="R16">
            <v>31706.226999999999</v>
          </cell>
          <cell r="S16">
            <v>61856.095386477697</v>
          </cell>
        </row>
        <row r="17">
          <cell r="A17" t="str">
            <v xml:space="preserve">      - Remuneraciones</v>
          </cell>
          <cell r="B17">
            <v>1277.4000000000001</v>
          </cell>
          <cell r="C17">
            <v>1245.5</v>
          </cell>
          <cell r="D17">
            <v>1228.0999999999999</v>
          </cell>
          <cell r="E17">
            <v>3751</v>
          </cell>
          <cell r="F17">
            <v>1224.5</v>
          </cell>
          <cell r="G17">
            <v>1203</v>
          </cell>
          <cell r="H17">
            <v>1234.5999999999999</v>
          </cell>
          <cell r="I17">
            <v>3662.1</v>
          </cell>
          <cell r="J17">
            <v>7413.1</v>
          </cell>
          <cell r="K17">
            <v>1795.16</v>
          </cell>
          <cell r="L17">
            <v>1345.8000000000002</v>
          </cell>
          <cell r="M17">
            <v>1405.66</v>
          </cell>
          <cell r="N17">
            <v>4546.62</v>
          </cell>
          <cell r="O17">
            <v>1405.66</v>
          </cell>
          <cell r="P17">
            <v>1405.66</v>
          </cell>
          <cell r="Q17">
            <v>1886.8</v>
          </cell>
          <cell r="R17">
            <v>4698.12</v>
          </cell>
          <cell r="S17">
            <v>9244.74</v>
          </cell>
          <cell r="T17">
            <v>16657.84</v>
          </cell>
          <cell r="U17">
            <v>10334</v>
          </cell>
          <cell r="V17">
            <v>-6323.84</v>
          </cell>
        </row>
        <row r="18">
          <cell r="A18" t="str">
            <v xml:space="preserve">      - Bienes y Servicios</v>
          </cell>
          <cell r="B18">
            <v>574.70000000000005</v>
          </cell>
          <cell r="C18">
            <v>329.1</v>
          </cell>
          <cell r="D18">
            <v>337.3</v>
          </cell>
          <cell r="E18">
            <v>1241.1000000000001</v>
          </cell>
          <cell r="F18">
            <v>448.7</v>
          </cell>
          <cell r="G18">
            <v>406.4</v>
          </cell>
          <cell r="H18">
            <v>553.6</v>
          </cell>
          <cell r="I18">
            <v>1408.6999999999998</v>
          </cell>
          <cell r="J18">
            <v>2649.8</v>
          </cell>
          <cell r="K18">
            <v>551.81999999999994</v>
          </cell>
          <cell r="L18">
            <v>470.67999999999995</v>
          </cell>
          <cell r="M18">
            <v>470.68999999999994</v>
          </cell>
          <cell r="N18">
            <v>1493.1899999999998</v>
          </cell>
          <cell r="O18">
            <v>470.68999999999994</v>
          </cell>
          <cell r="P18">
            <v>470.68999999999994</v>
          </cell>
          <cell r="Q18">
            <v>472.28999999999996</v>
          </cell>
          <cell r="R18">
            <v>1413.6699999999998</v>
          </cell>
          <cell r="S18">
            <v>2906.8599999999997</v>
          </cell>
          <cell r="T18">
            <v>5556.66</v>
          </cell>
          <cell r="U18">
            <v>3584.4</v>
          </cell>
          <cell r="V18">
            <v>-1972.2599999999998</v>
          </cell>
        </row>
        <row r="19">
          <cell r="A19" t="str">
            <v xml:space="preserve">      - Transferencias</v>
          </cell>
          <cell r="B19">
            <v>3951.8999999999996</v>
          </cell>
          <cell r="C19">
            <v>3284.7</v>
          </cell>
          <cell r="D19">
            <v>3313.4000000000005</v>
          </cell>
          <cell r="E19">
            <v>10550</v>
          </cell>
          <cell r="F19">
            <v>4367.8</v>
          </cell>
          <cell r="G19">
            <v>4988.1000000000004</v>
          </cell>
          <cell r="H19">
            <v>5959.2999999999993</v>
          </cell>
          <cell r="I19">
            <v>15315.2</v>
          </cell>
          <cell r="J19">
            <v>25865.200000000001</v>
          </cell>
          <cell r="K19">
            <v>5323.7100000000009</v>
          </cell>
          <cell r="L19">
            <v>4991.9000000000005</v>
          </cell>
          <cell r="M19">
            <v>5013.4599999999991</v>
          </cell>
          <cell r="N19">
            <v>15329.07</v>
          </cell>
          <cell r="O19">
            <v>5299.76</v>
          </cell>
          <cell r="P19">
            <v>5277.4599999999991</v>
          </cell>
          <cell r="Q19">
            <v>5539.56</v>
          </cell>
          <cell r="R19">
            <v>16116.779999999999</v>
          </cell>
          <cell r="S19">
            <v>31445.85</v>
          </cell>
          <cell r="T19">
            <v>57311.05</v>
          </cell>
          <cell r="U19">
            <v>27338.49</v>
          </cell>
          <cell r="V19">
            <v>-29972.560000000001</v>
          </cell>
        </row>
        <row r="20">
          <cell r="A20" t="str">
            <v xml:space="preserve">          Corrientes</v>
          </cell>
          <cell r="B20">
            <v>2299.7999999999997</v>
          </cell>
          <cell r="C20">
            <v>2508.1</v>
          </cell>
          <cell r="D20">
            <v>2640.1000000000004</v>
          </cell>
          <cell r="E20">
            <v>7448</v>
          </cell>
          <cell r="F20">
            <v>2929.3</v>
          </cell>
          <cell r="G20">
            <v>3592.5</v>
          </cell>
          <cell r="H20">
            <v>4210.8999999999996</v>
          </cell>
          <cell r="I20">
            <v>10732.7</v>
          </cell>
          <cell r="J20">
            <v>18180.7</v>
          </cell>
          <cell r="K20">
            <v>3782.9100000000003</v>
          </cell>
          <cell r="L20">
            <v>3423.7000000000003</v>
          </cell>
          <cell r="M20">
            <v>3471.1199999999994</v>
          </cell>
          <cell r="N20">
            <v>10677.73</v>
          </cell>
          <cell r="O20">
            <v>3691.02</v>
          </cell>
          <cell r="P20">
            <v>3701.8199999999993</v>
          </cell>
          <cell r="Q20">
            <v>4011.82</v>
          </cell>
          <cell r="R20">
            <v>11404.66</v>
          </cell>
          <cell r="S20">
            <v>22082.39</v>
          </cell>
          <cell r="T20">
            <v>40263.089999999997</v>
          </cell>
          <cell r="U20">
            <v>20576.061999999998</v>
          </cell>
          <cell r="V20">
            <v>-19687.027999999998</v>
          </cell>
        </row>
        <row r="21">
          <cell r="A21" t="str">
            <v xml:space="preserve">          Capital</v>
          </cell>
          <cell r="B21">
            <v>1652.1</v>
          </cell>
          <cell r="C21">
            <v>776.6</v>
          </cell>
          <cell r="D21">
            <v>673.3</v>
          </cell>
          <cell r="E21">
            <v>3102</v>
          </cell>
          <cell r="F21">
            <v>1438.5</v>
          </cell>
          <cell r="G21">
            <v>1395.6000000000001</v>
          </cell>
          <cell r="H21">
            <v>1748.4</v>
          </cell>
          <cell r="I21">
            <v>4582.5</v>
          </cell>
          <cell r="J21">
            <v>7684.5</v>
          </cell>
          <cell r="K21">
            <v>1540.8000000000002</v>
          </cell>
          <cell r="L21">
            <v>1568.2</v>
          </cell>
          <cell r="M21">
            <v>1542.3400000000001</v>
          </cell>
          <cell r="N21">
            <v>4651.34</v>
          </cell>
          <cell r="O21">
            <v>1608.74</v>
          </cell>
          <cell r="P21">
            <v>1575.6399999999999</v>
          </cell>
          <cell r="Q21">
            <v>1527.74</v>
          </cell>
          <cell r="R21">
            <v>4712.12</v>
          </cell>
          <cell r="S21">
            <v>9363.4599999999991</v>
          </cell>
          <cell r="T21">
            <v>17047.96</v>
          </cell>
          <cell r="U21">
            <v>6762.4279999999999</v>
          </cell>
          <cell r="V21">
            <v>-10285.531999999999</v>
          </cell>
        </row>
        <row r="22">
          <cell r="A22" t="str">
            <v xml:space="preserve">      - Inversión Financiera</v>
          </cell>
          <cell r="B22">
            <v>32.9</v>
          </cell>
          <cell r="C22">
            <v>0</v>
          </cell>
          <cell r="D22">
            <v>0</v>
          </cell>
          <cell r="E22">
            <v>32.9</v>
          </cell>
          <cell r="F22">
            <v>2</v>
          </cell>
          <cell r="G22">
            <v>51.2</v>
          </cell>
          <cell r="H22">
            <v>53.4</v>
          </cell>
          <cell r="I22">
            <v>106.6</v>
          </cell>
          <cell r="J22">
            <v>139.5</v>
          </cell>
          <cell r="K22">
            <v>9.9</v>
          </cell>
          <cell r="L22">
            <v>19.3</v>
          </cell>
          <cell r="M22">
            <v>19.259</v>
          </cell>
          <cell r="N22">
            <v>48.459000000000003</v>
          </cell>
          <cell r="O22">
            <v>19.259</v>
          </cell>
          <cell r="P22">
            <v>19.259</v>
          </cell>
          <cell r="Q22">
            <v>879.53899999999987</v>
          </cell>
          <cell r="R22">
            <v>918.0569999999999</v>
          </cell>
          <cell r="S22">
            <v>966.51599999999985</v>
          </cell>
          <cell r="T22">
            <v>1106.0159999999998</v>
          </cell>
          <cell r="U22">
            <v>1537.1</v>
          </cell>
          <cell r="V22">
            <v>431.08400000000006</v>
          </cell>
        </row>
        <row r="23">
          <cell r="A23" t="str">
            <v xml:space="preserve">      - Gastos Figurativos (OD)</v>
          </cell>
          <cell r="B23">
            <v>1089.3</v>
          </cell>
          <cell r="C23">
            <v>1321.3</v>
          </cell>
          <cell r="D23">
            <v>1048.3999999999999</v>
          </cell>
          <cell r="E23">
            <v>3459</v>
          </cell>
          <cell r="F23">
            <v>1006.4000000000001</v>
          </cell>
          <cell r="G23">
            <v>1143.0999999999999</v>
          </cell>
          <cell r="H23">
            <v>938.6</v>
          </cell>
          <cell r="I23">
            <v>3088.1</v>
          </cell>
          <cell r="J23">
            <v>6547.1</v>
          </cell>
          <cell r="K23">
            <v>1341</v>
          </cell>
          <cell r="L23">
            <v>1141.9000000000001</v>
          </cell>
          <cell r="M23">
            <v>1158.3</v>
          </cell>
          <cell r="N23">
            <v>3641.2</v>
          </cell>
          <cell r="O23">
            <v>1166.0999999999999</v>
          </cell>
          <cell r="P23">
            <v>1166.0999999999999</v>
          </cell>
          <cell r="Q23">
            <v>1311.4</v>
          </cell>
          <cell r="R23">
            <v>3643.6</v>
          </cell>
          <cell r="S23">
            <v>7284.7999999999993</v>
          </cell>
          <cell r="T23">
            <v>13831.9</v>
          </cell>
          <cell r="U23">
            <v>7107.9</v>
          </cell>
          <cell r="V23">
            <v>-6724</v>
          </cell>
        </row>
        <row r="24">
          <cell r="A24" t="str">
            <v xml:space="preserve">      - Inversión Real Directa</v>
          </cell>
          <cell r="B24">
            <v>283.89999999999998</v>
          </cell>
          <cell r="C24">
            <v>69.7</v>
          </cell>
          <cell r="D24">
            <v>75.599999999999994</v>
          </cell>
          <cell r="E24">
            <v>429.19999999999993</v>
          </cell>
          <cell r="F24">
            <v>68.7</v>
          </cell>
          <cell r="G24">
            <v>79.599999999999994</v>
          </cell>
          <cell r="H24">
            <v>104.8</v>
          </cell>
          <cell r="I24">
            <v>253.10000000000002</v>
          </cell>
          <cell r="J24">
            <v>682.3</v>
          </cell>
          <cell r="K24">
            <v>124.5</v>
          </cell>
          <cell r="L24">
            <v>150</v>
          </cell>
          <cell r="M24">
            <v>150</v>
          </cell>
          <cell r="N24">
            <v>424.5</v>
          </cell>
          <cell r="O24">
            <v>150</v>
          </cell>
          <cell r="P24">
            <v>150</v>
          </cell>
          <cell r="Q24">
            <v>150</v>
          </cell>
          <cell r="R24">
            <v>450</v>
          </cell>
          <cell r="S24">
            <v>874.5</v>
          </cell>
          <cell r="T24">
            <v>1556.8</v>
          </cell>
          <cell r="U24">
            <v>1174.0999999999999</v>
          </cell>
          <cell r="V24">
            <v>-382.70000000000005</v>
          </cell>
        </row>
        <row r="25">
          <cell r="A25" t="str">
            <v xml:space="preserve">      - Instit. De Seg. Social</v>
          </cell>
          <cell r="B25">
            <v>1473.3</v>
          </cell>
          <cell r="C25">
            <v>1371.6</v>
          </cell>
          <cell r="D25">
            <v>1377.8</v>
          </cell>
          <cell r="E25">
            <v>4222.7</v>
          </cell>
          <cell r="F25">
            <v>1334</v>
          </cell>
          <cell r="G25">
            <v>1337.5</v>
          </cell>
          <cell r="H25">
            <v>1604.6</v>
          </cell>
          <cell r="I25">
            <v>4276.1000000000004</v>
          </cell>
          <cell r="J25">
            <v>8498.7999999999993</v>
          </cell>
          <cell r="K25">
            <v>1689.65171644</v>
          </cell>
          <cell r="L25">
            <v>1456.1376700376929</v>
          </cell>
          <cell r="M25">
            <v>1519.2</v>
          </cell>
          <cell r="N25">
            <v>4664.9893864776932</v>
          </cell>
          <cell r="O25">
            <v>1474.1</v>
          </cell>
          <cell r="P25">
            <v>1504.9</v>
          </cell>
          <cell r="Q25">
            <v>1485.2000000000003</v>
          </cell>
          <cell r="R25">
            <v>4464.2000000000007</v>
          </cell>
          <cell r="S25">
            <v>9129.1893864776939</v>
          </cell>
          <cell r="T25">
            <v>17627.989386477693</v>
          </cell>
          <cell r="U25">
            <v>12159.400000000001</v>
          </cell>
          <cell r="V25">
            <v>-5468.5893864776917</v>
          </cell>
        </row>
        <row r="26">
          <cell r="A26" t="str">
            <v xml:space="preserve">      - Otros gastos primarios </v>
          </cell>
          <cell r="B26">
            <v>3</v>
          </cell>
          <cell r="C26">
            <v>2.8</v>
          </cell>
          <cell r="D26">
            <v>1.9</v>
          </cell>
          <cell r="E26">
            <v>7.6999999999999993</v>
          </cell>
          <cell r="F26">
            <v>1.1000000000000001</v>
          </cell>
          <cell r="G26">
            <v>0.8</v>
          </cell>
          <cell r="H26">
            <v>0.1</v>
          </cell>
          <cell r="I26">
            <v>2</v>
          </cell>
          <cell r="J26">
            <v>9.6999999999999993</v>
          </cell>
          <cell r="K26">
            <v>0.64</v>
          </cell>
          <cell r="L26">
            <v>0.60000000000000009</v>
          </cell>
          <cell r="M26">
            <v>0.6</v>
          </cell>
          <cell r="N26">
            <v>1.8400000000000003</v>
          </cell>
          <cell r="O26">
            <v>0.6</v>
          </cell>
          <cell r="P26">
            <v>0.6</v>
          </cell>
          <cell r="Q26">
            <v>0.6</v>
          </cell>
          <cell r="R26">
            <v>1.7999999999999998</v>
          </cell>
          <cell r="S26">
            <v>3.64</v>
          </cell>
          <cell r="T26">
            <v>13.34</v>
          </cell>
          <cell r="U26">
            <v>41.7</v>
          </cell>
          <cell r="V26">
            <v>28.360000000000003</v>
          </cell>
        </row>
        <row r="28">
          <cell r="E28">
            <v>16129.331902150399</v>
          </cell>
          <cell r="I28">
            <v>24194.747320925999</v>
          </cell>
          <cell r="J28">
            <v>40324.079223076398</v>
          </cell>
          <cell r="N28">
            <v>14126.44095366</v>
          </cell>
          <cell r="R28">
            <v>20400.5</v>
          </cell>
          <cell r="S28">
            <v>34526.94095366</v>
          </cell>
        </row>
        <row r="29">
          <cell r="E29">
            <v>489.09957215040004</v>
          </cell>
          <cell r="I29">
            <v>1563.4261097459998</v>
          </cell>
          <cell r="J29">
            <v>2052.5256818963999</v>
          </cell>
          <cell r="N29">
            <v>991.40251965999994</v>
          </cell>
          <cell r="R29">
            <v>1262.3</v>
          </cell>
          <cell r="S29">
            <v>2253.7025196599998</v>
          </cell>
        </row>
        <row r="30">
          <cell r="E30">
            <v>290.34057215040002</v>
          </cell>
          <cell r="I30">
            <v>547.74</v>
          </cell>
          <cell r="J30">
            <v>838.08057215040003</v>
          </cell>
          <cell r="N30">
            <v>315.90251966</v>
          </cell>
          <cell r="R30">
            <v>401.99999999999994</v>
          </cell>
          <cell r="S30">
            <v>717.90251965999994</v>
          </cell>
        </row>
        <row r="31">
          <cell r="A31" t="str">
            <v xml:space="preserve">      LETRAS</v>
          </cell>
          <cell r="B31">
            <v>0</v>
          </cell>
          <cell r="C31">
            <v>163.87960000000001</v>
          </cell>
          <cell r="D31">
            <v>126.46097215040001</v>
          </cell>
          <cell r="E31">
            <v>290.34057215040002</v>
          </cell>
          <cell r="F31">
            <v>0</v>
          </cell>
          <cell r="G31">
            <v>547.74</v>
          </cell>
          <cell r="H31">
            <v>0</v>
          </cell>
          <cell r="I31">
            <v>547.74</v>
          </cell>
          <cell r="J31">
            <v>838.08057215040003</v>
          </cell>
          <cell r="K31">
            <v>0</v>
          </cell>
          <cell r="L31">
            <v>181.42</v>
          </cell>
          <cell r="M31">
            <v>134.48251966000001</v>
          </cell>
          <cell r="N31">
            <v>315.90251966</v>
          </cell>
          <cell r="O31">
            <v>0</v>
          </cell>
          <cell r="P31">
            <v>401.99999999999994</v>
          </cell>
          <cell r="Q31">
            <v>0</v>
          </cell>
          <cell r="R31">
            <v>401.99999999999994</v>
          </cell>
          <cell r="S31">
            <v>717.90251965999994</v>
          </cell>
          <cell r="T31">
            <v>1555.9830918104001</v>
          </cell>
          <cell r="U31">
            <v>17237.597438615401</v>
          </cell>
        </row>
        <row r="32">
          <cell r="A32" t="str">
            <v xml:space="preserve">      BONOS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 t="str">
            <v xml:space="preserve">      OTROS</v>
          </cell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198.75899999999999</v>
          </cell>
          <cell r="I34">
            <v>1015.6861097459999</v>
          </cell>
          <cell r="J34">
            <v>1214.4451097459998</v>
          </cell>
          <cell r="N34">
            <v>675.5</v>
          </cell>
          <cell r="R34">
            <v>860.3</v>
          </cell>
          <cell r="S34">
            <v>1535.8</v>
          </cell>
        </row>
        <row r="35">
          <cell r="E35">
            <v>0</v>
          </cell>
          <cell r="I35">
            <v>0</v>
          </cell>
          <cell r="J35">
            <v>0</v>
          </cell>
          <cell r="N35">
            <v>0</v>
          </cell>
          <cell r="R35">
            <v>0</v>
          </cell>
          <cell r="S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  <cell r="N36">
            <v>0</v>
          </cell>
          <cell r="R36">
            <v>0</v>
          </cell>
          <cell r="S36">
            <v>0</v>
          </cell>
        </row>
        <row r="37">
          <cell r="E37">
            <v>0</v>
          </cell>
          <cell r="I37">
            <v>1015.6861097459999</v>
          </cell>
          <cell r="J37">
            <v>1015.6861097459999</v>
          </cell>
          <cell r="N37">
            <v>675.5</v>
          </cell>
          <cell r="R37">
            <v>0</v>
          </cell>
          <cell r="S37">
            <v>675.5</v>
          </cell>
        </row>
        <row r="38">
          <cell r="E38">
            <v>198.75899999999999</v>
          </cell>
          <cell r="I38">
            <v>0</v>
          </cell>
          <cell r="J38">
            <v>198.75899999999999</v>
          </cell>
          <cell r="N38">
            <v>0</v>
          </cell>
          <cell r="R38">
            <v>860.3</v>
          </cell>
          <cell r="S38">
            <v>860.3</v>
          </cell>
        </row>
        <row r="39">
          <cell r="E39">
            <v>0</v>
          </cell>
          <cell r="I39">
            <v>0</v>
          </cell>
          <cell r="J39">
            <v>0</v>
          </cell>
          <cell r="N39">
            <v>0</v>
          </cell>
          <cell r="R39">
            <v>0</v>
          </cell>
          <cell r="S39">
            <v>0</v>
          </cell>
        </row>
        <row r="40">
          <cell r="A40" t="str">
            <v xml:space="preserve">       Bilaterales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 t="str">
            <v xml:space="preserve">       Invers.Instit. Locales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15640.232329999999</v>
          </cell>
          <cell r="I42">
            <v>22631.321211179998</v>
          </cell>
          <cell r="J42">
            <v>38271.553541179994</v>
          </cell>
          <cell r="N42">
            <v>13135.038434</v>
          </cell>
          <cell r="R42">
            <v>19138.2</v>
          </cell>
          <cell r="S42">
            <v>32273.238433999999</v>
          </cell>
        </row>
        <row r="43">
          <cell r="E43">
            <v>6240.2323299999998</v>
          </cell>
          <cell r="I43">
            <v>11731.32121118</v>
          </cell>
          <cell r="J43">
            <v>17971.553541180001</v>
          </cell>
          <cell r="N43">
            <v>4855.0384340000001</v>
          </cell>
          <cell r="R43">
            <v>3038.2</v>
          </cell>
          <cell r="S43">
            <v>7893.2384339999999</v>
          </cell>
        </row>
        <row r="44">
          <cell r="A44" t="str">
            <v xml:space="preserve">      LETRAS</v>
          </cell>
          <cell r="B44">
            <v>150</v>
          </cell>
          <cell r="C44">
            <v>585.71241299999997</v>
          </cell>
          <cell r="D44">
            <v>2904.5199170000001</v>
          </cell>
          <cell r="E44">
            <v>3640.2323299999998</v>
          </cell>
          <cell r="F44">
            <v>2700</v>
          </cell>
          <cell r="G44">
            <v>0</v>
          </cell>
          <cell r="H44">
            <v>717</v>
          </cell>
          <cell r="I44">
            <v>3417</v>
          </cell>
          <cell r="J44">
            <v>7057.2323299999998</v>
          </cell>
          <cell r="K44">
            <v>150</v>
          </cell>
          <cell r="L44">
            <v>1034.9384340000001</v>
          </cell>
          <cell r="M44">
            <v>2270.1</v>
          </cell>
          <cell r="N44">
            <v>3455.0384340000001</v>
          </cell>
          <cell r="O44">
            <v>89.600000000000023</v>
          </cell>
          <cell r="P44">
            <v>1291.5999999999999</v>
          </cell>
          <cell r="Q44">
            <v>1257</v>
          </cell>
          <cell r="R44">
            <v>2638.2</v>
          </cell>
          <cell r="S44">
            <v>6093.2384339999999</v>
          </cell>
          <cell r="T44">
            <v>13150.470764000002</v>
          </cell>
          <cell r="U44">
            <v>-8436.1727796599971</v>
          </cell>
          <cell r="V44">
            <v>3920</v>
          </cell>
        </row>
        <row r="45">
          <cell r="A45" t="str">
            <v xml:space="preserve">      BONOS</v>
          </cell>
          <cell r="B45">
            <v>0</v>
          </cell>
          <cell r="D45">
            <v>2600</v>
          </cell>
          <cell r="E45">
            <v>2600</v>
          </cell>
          <cell r="F45">
            <v>2713.0967350000001</v>
          </cell>
          <cell r="G45">
            <v>0</v>
          </cell>
          <cell r="H45">
            <v>5601.2244761800002</v>
          </cell>
          <cell r="I45">
            <v>8314.3212111800003</v>
          </cell>
          <cell r="J45">
            <v>10914.32121118</v>
          </cell>
          <cell r="K45">
            <v>0</v>
          </cell>
          <cell r="L45">
            <v>0</v>
          </cell>
          <cell r="M45">
            <v>1400</v>
          </cell>
          <cell r="N45">
            <v>1400</v>
          </cell>
          <cell r="O45">
            <v>400</v>
          </cell>
          <cell r="P45">
            <v>0</v>
          </cell>
          <cell r="Q45">
            <v>0</v>
          </cell>
          <cell r="R45">
            <v>400</v>
          </cell>
          <cell r="S45">
            <v>1800</v>
          </cell>
          <cell r="T45">
            <v>12714.32121118</v>
          </cell>
          <cell r="U45">
            <v>12714.32121118</v>
          </cell>
          <cell r="V45">
            <v>5834.1315233304013</v>
          </cell>
        </row>
        <row r="46">
          <cell r="A46" t="str">
            <v xml:space="preserve">      OTROS</v>
          </cell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7252</v>
          </cell>
          <cell r="V46">
            <v>4432.1315233304013</v>
          </cell>
        </row>
        <row r="47">
          <cell r="E47">
            <v>1400</v>
          </cell>
          <cell r="I47">
            <v>2700</v>
          </cell>
          <cell r="J47">
            <v>4100</v>
          </cell>
          <cell r="N47">
            <v>5800</v>
          </cell>
          <cell r="R47">
            <v>800</v>
          </cell>
          <cell r="S47">
            <v>6600</v>
          </cell>
        </row>
        <row r="48">
          <cell r="E48">
            <v>8000</v>
          </cell>
          <cell r="I48">
            <v>8200</v>
          </cell>
          <cell r="J48">
            <v>16200</v>
          </cell>
          <cell r="N48">
            <v>2480</v>
          </cell>
          <cell r="R48">
            <v>15300</v>
          </cell>
          <cell r="S48">
            <v>17780</v>
          </cell>
        </row>
        <row r="50">
          <cell r="E50">
            <v>291.93050019406542</v>
          </cell>
          <cell r="I50">
            <v>-29.112186450433668</v>
          </cell>
          <cell r="J50">
            <v>262.81831374363173</v>
          </cell>
          <cell r="N50">
            <v>594.21921643999963</v>
          </cell>
          <cell r="R50">
            <v>991.10000000000014</v>
          </cell>
          <cell r="S50">
            <v>1585.3192164399998</v>
          </cell>
        </row>
        <row r="52">
          <cell r="E52">
            <v>0</v>
          </cell>
          <cell r="I52">
            <v>0</v>
          </cell>
          <cell r="J52">
            <v>0</v>
          </cell>
          <cell r="N52">
            <v>0</v>
          </cell>
          <cell r="R52">
            <v>0</v>
          </cell>
          <cell r="S52">
            <v>0</v>
          </cell>
        </row>
        <row r="53">
          <cell r="E53">
            <v>139.31161528999985</v>
          </cell>
          <cell r="I53">
            <v>-355.94274492999989</v>
          </cell>
          <cell r="J53">
            <v>-216.63112964000004</v>
          </cell>
          <cell r="N53">
            <v>215.55171644000006</v>
          </cell>
          <cell r="R53">
            <v>-31.899999999999864</v>
          </cell>
          <cell r="S53">
            <v>183.6517164400002</v>
          </cell>
        </row>
        <row r="54">
          <cell r="E54">
            <v>134.01613785184185</v>
          </cell>
          <cell r="I54">
            <v>154.65065064999999</v>
          </cell>
          <cell r="J54">
            <v>288.66678850184184</v>
          </cell>
          <cell r="N54">
            <v>150.02149999999961</v>
          </cell>
          <cell r="R54">
            <v>0</v>
          </cell>
          <cell r="S54">
            <v>150.02149999999961</v>
          </cell>
        </row>
        <row r="55">
          <cell r="E55">
            <v>-195</v>
          </cell>
          <cell r="I55">
            <v>-20</v>
          </cell>
          <cell r="J55">
            <v>-215</v>
          </cell>
          <cell r="N55">
            <v>0</v>
          </cell>
          <cell r="R55">
            <v>195</v>
          </cell>
          <cell r="S55">
            <v>195</v>
          </cell>
        </row>
        <row r="56">
          <cell r="E56">
            <v>244.49599999999998</v>
          </cell>
          <cell r="I56">
            <v>247.72900000000001</v>
          </cell>
          <cell r="J56">
            <v>492.22500000000002</v>
          </cell>
          <cell r="N56">
            <v>228.64600000000002</v>
          </cell>
          <cell r="R56">
            <v>828</v>
          </cell>
          <cell r="S56">
            <v>1056.646</v>
          </cell>
        </row>
        <row r="57">
          <cell r="E57">
            <v>10.408185849285818</v>
          </cell>
          <cell r="I57">
            <v>254.80712400020388</v>
          </cell>
          <cell r="J57">
            <v>265.2153098494897</v>
          </cell>
          <cell r="N57">
            <v>0</v>
          </cell>
          <cell r="R57">
            <v>0</v>
          </cell>
          <cell r="S57">
            <v>0</v>
          </cell>
        </row>
        <row r="58">
          <cell r="E58">
            <v>-41.301438797062126</v>
          </cell>
          <cell r="I58">
            <v>-310.35621617063771</v>
          </cell>
          <cell r="J58">
            <v>-351.65765496769984</v>
          </cell>
          <cell r="N58">
            <v>0</v>
          </cell>
          <cell r="R58">
            <v>0</v>
          </cell>
          <cell r="S58">
            <v>0</v>
          </cell>
        </row>
        <row r="60">
          <cell r="E60">
            <v>1078.6080000000002</v>
          </cell>
          <cell r="I60">
            <v>1467.4019453363223</v>
          </cell>
          <cell r="J60">
            <v>2546.0099453363227</v>
          </cell>
          <cell r="N60">
            <v>1153.2511626747273</v>
          </cell>
          <cell r="R60">
            <v>1223.5564491674495</v>
          </cell>
          <cell r="S60">
            <v>2376.8076118421768</v>
          </cell>
        </row>
        <row r="61">
          <cell r="E61">
            <v>172.79099999999997</v>
          </cell>
          <cell r="I61">
            <v>232.72886</v>
          </cell>
          <cell r="J61">
            <v>405.51985999999999</v>
          </cell>
          <cell r="N61">
            <v>91.100609674727323</v>
          </cell>
          <cell r="R61">
            <v>204.76844916744946</v>
          </cell>
          <cell r="S61">
            <v>295.8690588421768</v>
          </cell>
        </row>
        <row r="62">
          <cell r="E62">
            <v>43.592000000000006</v>
          </cell>
          <cell r="I62">
            <v>144.23836</v>
          </cell>
          <cell r="J62">
            <v>187.83036000000001</v>
          </cell>
          <cell r="N62">
            <v>86.800609674727326</v>
          </cell>
          <cell r="R62">
            <v>89.758534666089474</v>
          </cell>
          <cell r="S62">
            <v>176.5591443408168</v>
          </cell>
        </row>
        <row r="63">
          <cell r="E63">
            <v>119.03899999999999</v>
          </cell>
          <cell r="I63">
            <v>80.301500000000004</v>
          </cell>
          <cell r="J63">
            <v>199.34049999999999</v>
          </cell>
          <cell r="N63">
            <v>4.3</v>
          </cell>
          <cell r="R63">
            <v>104.28441854495999</v>
          </cell>
          <cell r="S63">
            <v>108.58441854495999</v>
          </cell>
        </row>
        <row r="64">
          <cell r="E64">
            <v>10.16</v>
          </cell>
          <cell r="I64">
            <v>8.1890000000000001</v>
          </cell>
          <cell r="J64">
            <v>18.349</v>
          </cell>
          <cell r="N64">
            <v>0</v>
          </cell>
          <cell r="R64">
            <v>10.725495956399998</v>
          </cell>
          <cell r="S64">
            <v>10.725495956399998</v>
          </cell>
        </row>
        <row r="65">
          <cell r="E65">
            <v>264.45299999999997</v>
          </cell>
          <cell r="I65">
            <v>478.50878599999999</v>
          </cell>
          <cell r="J65">
            <v>742.96178599999996</v>
          </cell>
          <cell r="N65">
            <v>219.423553</v>
          </cell>
          <cell r="R65">
            <v>429.88800000000009</v>
          </cell>
          <cell r="S65">
            <v>649.31155300000012</v>
          </cell>
        </row>
        <row r="66">
          <cell r="E66">
            <v>114.738</v>
          </cell>
          <cell r="I66">
            <v>238.84248600000001</v>
          </cell>
          <cell r="J66">
            <v>353.58048600000001</v>
          </cell>
          <cell r="N66">
            <v>108.60255299999999</v>
          </cell>
          <cell r="R66">
            <v>221.59100000000001</v>
          </cell>
          <cell r="S66">
            <v>330.19355300000001</v>
          </cell>
        </row>
        <row r="67">
          <cell r="E67">
            <v>119.65900000000001</v>
          </cell>
          <cell r="I67">
            <v>220.61829999999998</v>
          </cell>
          <cell r="J67">
            <v>340.27729999999997</v>
          </cell>
          <cell r="N67">
            <v>103.102</v>
          </cell>
          <cell r="R67">
            <v>185.31900000000005</v>
          </cell>
          <cell r="S67">
            <v>288.42100000000005</v>
          </cell>
        </row>
        <row r="68">
          <cell r="E68">
            <v>30.056000000000004</v>
          </cell>
          <cell r="I68">
            <v>19.048000000000002</v>
          </cell>
          <cell r="J68">
            <v>49.104000000000006</v>
          </cell>
          <cell r="N68">
            <v>7.7189999999999994</v>
          </cell>
          <cell r="R68">
            <v>22.978000000000002</v>
          </cell>
          <cell r="S68">
            <v>30.697000000000003</v>
          </cell>
        </row>
        <row r="69">
          <cell r="E69">
            <v>5</v>
          </cell>
          <cell r="I69">
            <v>0</v>
          </cell>
          <cell r="J69">
            <v>5</v>
          </cell>
          <cell r="N69">
            <v>3.8269999999999995</v>
          </cell>
          <cell r="R69">
            <v>0</v>
          </cell>
          <cell r="S69">
            <v>3.8269999999999995</v>
          </cell>
        </row>
        <row r="70">
          <cell r="E70">
            <v>0</v>
          </cell>
          <cell r="I70">
            <v>0</v>
          </cell>
          <cell r="J70">
            <v>0</v>
          </cell>
          <cell r="N70">
            <v>0.45300000000000001</v>
          </cell>
          <cell r="R70">
            <v>0</v>
          </cell>
          <cell r="S70">
            <v>0.45300000000000001</v>
          </cell>
        </row>
        <row r="71">
          <cell r="E71">
            <v>5</v>
          </cell>
          <cell r="I71">
            <v>0</v>
          </cell>
          <cell r="J71">
            <v>5</v>
          </cell>
          <cell r="N71">
            <v>3.3739999999999997</v>
          </cell>
          <cell r="R71">
            <v>0</v>
          </cell>
          <cell r="S71">
            <v>3.3739999999999997</v>
          </cell>
        </row>
        <row r="72">
          <cell r="E72">
            <v>326.65500000000003</v>
          </cell>
          <cell r="I72">
            <v>216.11949999999999</v>
          </cell>
          <cell r="J72">
            <v>542.77449999999999</v>
          </cell>
          <cell r="N72">
            <v>324</v>
          </cell>
          <cell r="R72">
            <v>324</v>
          </cell>
          <cell r="S72">
            <v>648</v>
          </cell>
        </row>
        <row r="73">
          <cell r="E73">
            <v>0</v>
          </cell>
          <cell r="I73">
            <v>0</v>
          </cell>
          <cell r="J73">
            <v>0</v>
          </cell>
          <cell r="N73">
            <v>0</v>
          </cell>
          <cell r="R73">
            <v>0</v>
          </cell>
          <cell r="S73">
            <v>0</v>
          </cell>
        </row>
        <row r="74">
          <cell r="E74">
            <v>211.09899999999999</v>
          </cell>
          <cell r="I74">
            <v>217.42375600000003</v>
          </cell>
          <cell r="J74">
            <v>428.52275600000002</v>
          </cell>
          <cell r="N74">
            <v>234.89999999999998</v>
          </cell>
          <cell r="R74">
            <v>234.89999999999998</v>
          </cell>
          <cell r="S74">
            <v>469.79999999999995</v>
          </cell>
        </row>
        <row r="75">
          <cell r="E75">
            <v>74.697000000000003</v>
          </cell>
          <cell r="I75">
            <v>299.65794533632226</v>
          </cell>
          <cell r="J75">
            <v>374.35494533632226</v>
          </cell>
          <cell r="N75">
            <v>250</v>
          </cell>
          <cell r="R75">
            <v>0</v>
          </cell>
          <cell r="S75">
            <v>250</v>
          </cell>
        </row>
        <row r="76">
          <cell r="E76">
            <v>23.912999999999954</v>
          </cell>
          <cell r="I76">
            <v>22.963098000000024</v>
          </cell>
          <cell r="J76">
            <v>46.876097999999978</v>
          </cell>
          <cell r="N76">
            <v>30</v>
          </cell>
          <cell r="R76">
            <v>30</v>
          </cell>
          <cell r="S76">
            <v>60</v>
          </cell>
        </row>
        <row r="78">
          <cell r="E78">
            <v>359.53</v>
          </cell>
          <cell r="I78">
            <v>274.65899999999999</v>
          </cell>
          <cell r="J78">
            <v>634.18899999999996</v>
          </cell>
          <cell r="N78">
            <v>241.54262232343174</v>
          </cell>
          <cell r="R78">
            <v>241.16472948786736</v>
          </cell>
          <cell r="S78">
            <v>482.70735181129908</v>
          </cell>
        </row>
        <row r="80">
          <cell r="E80">
            <v>0</v>
          </cell>
          <cell r="I80">
            <v>0</v>
          </cell>
          <cell r="N80">
            <v>0</v>
          </cell>
          <cell r="R80">
            <v>7000</v>
          </cell>
          <cell r="S80">
            <v>7000</v>
          </cell>
        </row>
        <row r="81">
          <cell r="U81">
            <v>-787.2645193401986</v>
          </cell>
          <cell r="V81">
            <v>31.855999999999966</v>
          </cell>
        </row>
        <row r="82">
          <cell r="A82" t="str">
            <v xml:space="preserve"> .Vta. de Activos Financ.</v>
          </cell>
          <cell r="B82">
            <v>2363.3144961900002</v>
          </cell>
          <cell r="C82">
            <v>3298.1360999999997</v>
          </cell>
          <cell r="D82">
            <v>1789.4571232999999</v>
          </cell>
          <cell r="E82">
            <v>7450.9077194899992</v>
          </cell>
          <cell r="F82">
            <v>4592.2141732999999</v>
          </cell>
          <cell r="G82">
            <v>2928.5926272000002</v>
          </cell>
          <cell r="H82">
            <v>7116.6658362149992</v>
          </cell>
          <cell r="I82">
            <v>14637.472636715</v>
          </cell>
          <cell r="J82">
            <v>22088.380356204998</v>
          </cell>
          <cell r="K82">
            <v>15</v>
          </cell>
          <cell r="L82">
            <v>501.79263065980001</v>
          </cell>
          <cell r="M82">
            <v>15</v>
          </cell>
          <cell r="N82">
            <v>531.79263065980001</v>
          </cell>
          <cell r="O82">
            <v>15</v>
          </cell>
          <cell r="P82">
            <v>15</v>
          </cell>
          <cell r="Q82">
            <v>15</v>
          </cell>
          <cell r="R82">
            <v>45</v>
          </cell>
          <cell r="S82">
            <v>576.79263065980001</v>
          </cell>
          <cell r="T82">
            <v>22665.172986864796</v>
          </cell>
          <cell r="U82">
            <v>56.443582805000005</v>
          </cell>
          <cell r="V82">
            <v>819.35599999999999</v>
          </cell>
        </row>
        <row r="83">
          <cell r="A83" t="str">
            <v xml:space="preserve">    Títulos y Valores</v>
          </cell>
          <cell r="B83">
            <v>680.82890078999992</v>
          </cell>
          <cell r="C83">
            <v>204.07599999999999</v>
          </cell>
          <cell r="D83">
            <v>0</v>
          </cell>
          <cell r="E83">
            <v>884.90490078999994</v>
          </cell>
          <cell r="F83">
            <v>0</v>
          </cell>
          <cell r="G83">
            <v>0</v>
          </cell>
          <cell r="H83">
            <v>1442.162682015</v>
          </cell>
          <cell r="I83">
            <v>1442.162682015</v>
          </cell>
          <cell r="J83">
            <v>2327.0675828049998</v>
          </cell>
          <cell r="K83">
            <v>0</v>
          </cell>
          <cell r="L83">
            <v>204.07599999999999</v>
          </cell>
          <cell r="M83">
            <v>0</v>
          </cell>
          <cell r="N83">
            <v>204.07599999999999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204.07599999999999</v>
          </cell>
          <cell r="T83">
            <v>2531.1435828049998</v>
          </cell>
          <cell r="U83">
            <v>-848.76251853000031</v>
          </cell>
          <cell r="V83">
            <v>-848.76251853000031</v>
          </cell>
        </row>
        <row r="84">
          <cell r="E84">
            <v>6508.3811000000005</v>
          </cell>
          <cell r="I84">
            <v>13134.674999999999</v>
          </cell>
          <cell r="J84">
            <v>19643.056100000002</v>
          </cell>
          <cell r="N84">
            <v>36.979380659800015</v>
          </cell>
          <cell r="R84">
            <v>0</v>
          </cell>
          <cell r="S84">
            <v>36.979380659800015</v>
          </cell>
        </row>
        <row r="85">
          <cell r="E85">
            <v>0</v>
          </cell>
          <cell r="I85">
            <v>0</v>
          </cell>
          <cell r="J85">
            <v>0</v>
          </cell>
          <cell r="N85">
            <v>0</v>
          </cell>
          <cell r="R85">
            <v>0</v>
          </cell>
          <cell r="S85">
            <v>0</v>
          </cell>
        </row>
        <row r="86">
          <cell r="E86">
            <v>57.621718700000002</v>
          </cell>
          <cell r="I86">
            <v>60.634954700000002</v>
          </cell>
          <cell r="J86">
            <v>118.25667340000001</v>
          </cell>
          <cell r="N86">
            <v>290.73725000000002</v>
          </cell>
          <cell r="R86">
            <v>45</v>
          </cell>
          <cell r="S86">
            <v>335.73725000000002</v>
          </cell>
        </row>
        <row r="88">
          <cell r="E88">
            <v>43502.710262827241</v>
          </cell>
          <cell r="I88">
            <v>35814.357864817779</v>
          </cell>
          <cell r="J88">
            <v>79317.06812764502</v>
          </cell>
          <cell r="N88">
            <v>27861.344124451167</v>
          </cell>
          <cell r="R88">
            <v>53898.651095955633</v>
          </cell>
          <cell r="S88">
            <v>81759.995220406796</v>
          </cell>
        </row>
        <row r="90">
          <cell r="E90">
            <v>32544.768481827163</v>
          </cell>
          <cell r="I90">
            <v>18378.058459702217</v>
          </cell>
          <cell r="J90">
            <v>50922.826941529376</v>
          </cell>
          <cell r="N90">
            <v>24734.761416838981</v>
          </cell>
          <cell r="R90">
            <v>41450.232783621119</v>
          </cell>
          <cell r="S90">
            <v>66184.994200460103</v>
          </cell>
        </row>
        <row r="92">
          <cell r="E92">
            <v>20867.775860640002</v>
          </cell>
          <cell r="I92">
            <v>12334.570023010001</v>
          </cell>
          <cell r="J92">
            <v>33202.345883650007</v>
          </cell>
          <cell r="N92">
            <v>11654.060540875009</v>
          </cell>
          <cell r="R92">
            <v>29450.325911921729</v>
          </cell>
          <cell r="S92">
            <v>41104.386452796738</v>
          </cell>
        </row>
        <row r="94">
          <cell r="E94">
            <v>1179.1656831799999</v>
          </cell>
          <cell r="I94">
            <v>2499.9800776700004</v>
          </cell>
          <cell r="J94">
            <v>3679.1457608500004</v>
          </cell>
          <cell r="N94">
            <v>2400.0047691592813</v>
          </cell>
          <cell r="R94">
            <v>4605.5965506788561</v>
          </cell>
          <cell r="S94">
            <v>7005.601319838137</v>
          </cell>
        </row>
        <row r="96">
          <cell r="E96">
            <v>55.74222846</v>
          </cell>
          <cell r="I96">
            <v>53.161811569999998</v>
          </cell>
          <cell r="J96">
            <v>108.90404003</v>
          </cell>
          <cell r="N96">
            <v>52.205833007915487</v>
          </cell>
          <cell r="R96">
            <v>47.939558823909294</v>
          </cell>
          <cell r="S96">
            <v>100.14539183182478</v>
          </cell>
        </row>
        <row r="97">
          <cell r="E97">
            <v>125.38759683999955</v>
          </cell>
          <cell r="I97">
            <v>16.20040706</v>
          </cell>
          <cell r="J97">
            <v>141.58800389999953</v>
          </cell>
          <cell r="N97">
            <v>125.73726879625836</v>
          </cell>
          <cell r="R97">
            <v>12.762146064051541</v>
          </cell>
          <cell r="S97">
            <v>138.49941486030991</v>
          </cell>
        </row>
        <row r="98">
          <cell r="E98">
            <v>15.609873670000002</v>
          </cell>
          <cell r="I98">
            <v>14.39527256</v>
          </cell>
          <cell r="J98">
            <v>30.005146230000001</v>
          </cell>
          <cell r="N98">
            <v>12.805490496453029</v>
          </cell>
          <cell r="R98">
            <v>11.128598504051542</v>
          </cell>
          <cell r="S98">
            <v>23.934089000504571</v>
          </cell>
        </row>
        <row r="99">
          <cell r="E99">
            <v>0</v>
          </cell>
          <cell r="I99">
            <v>1.8051345000000001</v>
          </cell>
          <cell r="J99">
            <v>1.8051345000000001</v>
          </cell>
          <cell r="N99">
            <v>0</v>
          </cell>
          <cell r="R99">
            <v>1.63354756</v>
          </cell>
          <cell r="S99">
            <v>1.63354756</v>
          </cell>
        </row>
        <row r="100">
          <cell r="E100">
            <v>109.77772316999955</v>
          </cell>
          <cell r="I100">
            <v>0</v>
          </cell>
          <cell r="J100">
            <v>109.77772316999955</v>
          </cell>
          <cell r="N100">
            <v>112.93177829980533</v>
          </cell>
          <cell r="R100">
            <v>0</v>
          </cell>
          <cell r="S100">
            <v>112.93177829980533</v>
          </cell>
        </row>
        <row r="101">
          <cell r="E101">
            <v>161.53507690000001</v>
          </cell>
          <cell r="I101">
            <v>777.81370083000002</v>
          </cell>
          <cell r="J101">
            <v>939.34877773000005</v>
          </cell>
          <cell r="N101">
            <v>954.95220145000008</v>
          </cell>
          <cell r="R101">
            <v>312.08764631999998</v>
          </cell>
          <cell r="S101">
            <v>1267.0398477700001</v>
          </cell>
        </row>
        <row r="102">
          <cell r="E102">
            <v>0</v>
          </cell>
          <cell r="I102">
            <v>0</v>
          </cell>
          <cell r="J102">
            <v>0</v>
          </cell>
          <cell r="N102">
            <v>0</v>
          </cell>
          <cell r="R102">
            <v>78.75</v>
          </cell>
          <cell r="S102">
            <v>78.75</v>
          </cell>
        </row>
        <row r="103">
          <cell r="E103">
            <v>161.53507690000001</v>
          </cell>
          <cell r="I103">
            <v>777.81370083000002</v>
          </cell>
          <cell r="J103">
            <v>939.34877773000005</v>
          </cell>
          <cell r="N103">
            <v>954.95220145000008</v>
          </cell>
          <cell r="R103">
            <v>233.33764632</v>
          </cell>
          <cell r="S103">
            <v>1188.2898477700001</v>
          </cell>
        </row>
        <row r="104">
          <cell r="E104">
            <v>373.45377626000004</v>
          </cell>
          <cell r="I104">
            <v>372.45106154999996</v>
          </cell>
          <cell r="J104">
            <v>745.90483781</v>
          </cell>
          <cell r="N104">
            <v>411.02652678999993</v>
          </cell>
          <cell r="R104">
            <v>211.17951099999999</v>
          </cell>
          <cell r="S104">
            <v>622.20603778999998</v>
          </cell>
        </row>
        <row r="105">
          <cell r="E105">
            <v>359.53</v>
          </cell>
          <cell r="I105">
            <v>274.65899999999999</v>
          </cell>
          <cell r="J105">
            <v>634.18899999999996</v>
          </cell>
          <cell r="N105">
            <v>241.54262232343174</v>
          </cell>
          <cell r="R105">
            <v>241.16472948786736</v>
          </cell>
          <cell r="S105">
            <v>482.70735181129908</v>
          </cell>
        </row>
        <row r="106">
          <cell r="E106">
            <v>25.431588810000001</v>
          </cell>
          <cell r="I106">
            <v>451.44332347</v>
          </cell>
          <cell r="J106">
            <v>476.87491227999999</v>
          </cell>
          <cell r="N106">
            <v>49.022169595435365</v>
          </cell>
          <cell r="R106">
            <v>1926.6441220908061</v>
          </cell>
          <cell r="S106">
            <v>1975.6662916862415</v>
          </cell>
        </row>
        <row r="107">
          <cell r="E107">
            <v>7.2523095500000005</v>
          </cell>
          <cell r="I107">
            <v>487.04644149000012</v>
          </cell>
          <cell r="J107">
            <v>494.29875104000013</v>
          </cell>
          <cell r="N107">
            <v>553.09775346596643</v>
          </cell>
          <cell r="R107">
            <v>1853.5874060422223</v>
          </cell>
          <cell r="S107">
            <v>2406.6851595081889</v>
          </cell>
        </row>
        <row r="108">
          <cell r="E108">
            <v>70.83310636000023</v>
          </cell>
          <cell r="I108">
            <v>67.204331699999997</v>
          </cell>
          <cell r="J108">
            <v>138.03743806000023</v>
          </cell>
          <cell r="N108">
            <v>12.420393730273998</v>
          </cell>
          <cell r="R108">
            <v>0.23143084999999999</v>
          </cell>
          <cell r="S108">
            <v>12.651824580273999</v>
          </cell>
        </row>
        <row r="110">
          <cell r="E110">
            <v>19688.610177459999</v>
          </cell>
          <cell r="I110">
            <v>9834.5899453399998</v>
          </cell>
          <cell r="J110">
            <v>29523.200122800001</v>
          </cell>
          <cell r="N110">
            <v>9254.055771715728</v>
          </cell>
          <cell r="R110">
            <v>24844.729361242877</v>
          </cell>
          <cell r="S110">
            <v>34098.785132958605</v>
          </cell>
        </row>
        <row r="112">
          <cell r="E112">
            <v>882.82484410000006</v>
          </cell>
          <cell r="I112">
            <v>909.37484428000005</v>
          </cell>
          <cell r="J112">
            <v>1792.1996883800002</v>
          </cell>
          <cell r="N112">
            <v>946.35383734095205</v>
          </cell>
          <cell r="R112">
            <v>959.55520200441333</v>
          </cell>
          <cell r="S112">
            <v>1905.9090393453653</v>
          </cell>
        </row>
        <row r="113">
          <cell r="E113">
            <v>354.34863057000001</v>
          </cell>
          <cell r="I113">
            <v>365.14727646</v>
          </cell>
          <cell r="J113">
            <v>719.49590703000001</v>
          </cell>
          <cell r="N113">
            <v>365.06153186260747</v>
          </cell>
          <cell r="R113">
            <v>376.01043338019895</v>
          </cell>
          <cell r="S113">
            <v>741.07196524280641</v>
          </cell>
        </row>
        <row r="114">
          <cell r="E114">
            <v>354.34863057000001</v>
          </cell>
          <cell r="I114">
            <v>359.46409376999998</v>
          </cell>
          <cell r="J114">
            <v>713.81272433999993</v>
          </cell>
          <cell r="N114">
            <v>365.06153186260747</v>
          </cell>
          <cell r="R114">
            <v>370.32725069019898</v>
          </cell>
          <cell r="S114">
            <v>735.38878255280645</v>
          </cell>
        </row>
        <row r="115">
          <cell r="E115">
            <v>0</v>
          </cell>
          <cell r="I115">
            <v>5.6831826899999998</v>
          </cell>
          <cell r="J115">
            <v>5.6831826899999998</v>
          </cell>
          <cell r="N115">
            <v>0</v>
          </cell>
          <cell r="R115">
            <v>5.6831826900000006</v>
          </cell>
          <cell r="S115">
            <v>5.6831826900000006</v>
          </cell>
        </row>
        <row r="116">
          <cell r="E116">
            <v>7417.2938960000001</v>
          </cell>
          <cell r="I116">
            <v>4490</v>
          </cell>
          <cell r="J116">
            <v>11907.293895999999</v>
          </cell>
          <cell r="N116">
            <v>5105.0384340000001</v>
          </cell>
          <cell r="R116">
            <v>3338.2</v>
          </cell>
          <cell r="S116">
            <v>8443.238433999999</v>
          </cell>
        </row>
        <row r="117">
          <cell r="E117">
            <v>127.8684510699988</v>
          </cell>
          <cell r="I117">
            <v>4064.8546125799999</v>
          </cell>
          <cell r="J117">
            <v>4192.7230636499989</v>
          </cell>
          <cell r="N117">
            <v>321.97064449216879</v>
          </cell>
          <cell r="R117">
            <v>788.26882353645192</v>
          </cell>
          <cell r="S117">
            <v>1110.2394680286206</v>
          </cell>
        </row>
        <row r="118">
          <cell r="E118">
            <v>0</v>
          </cell>
          <cell r="I118">
            <v>0</v>
          </cell>
          <cell r="J118">
            <v>0</v>
          </cell>
          <cell r="N118">
            <v>0</v>
          </cell>
          <cell r="R118">
            <v>2929.5</v>
          </cell>
          <cell r="S118">
            <v>2929.5</v>
          </cell>
        </row>
        <row r="119">
          <cell r="E119">
            <v>10900</v>
          </cell>
          <cell r="I119">
            <v>0</v>
          </cell>
          <cell r="J119">
            <v>10900</v>
          </cell>
          <cell r="N119">
            <v>2480</v>
          </cell>
          <cell r="R119">
            <v>13200</v>
          </cell>
          <cell r="S119">
            <v>15680</v>
          </cell>
        </row>
        <row r="120">
          <cell r="E120">
            <v>6.2743557199999991</v>
          </cell>
          <cell r="I120">
            <v>5.2132120200000003</v>
          </cell>
          <cell r="J120">
            <v>11.487567739999999</v>
          </cell>
          <cell r="N120">
            <v>35.631324020000001</v>
          </cell>
          <cell r="R120">
            <v>3253.1949023218094</v>
          </cell>
          <cell r="S120">
            <v>3288.8262263418096</v>
          </cell>
        </row>
        <row r="122">
          <cell r="E122">
            <v>3917.4578211871631</v>
          </cell>
          <cell r="I122">
            <v>5484.9119612227296</v>
          </cell>
          <cell r="J122">
            <v>9402.3697824098927</v>
          </cell>
          <cell r="N122">
            <v>12328.077825923971</v>
          </cell>
          <cell r="R122">
            <v>11435.906871699393</v>
          </cell>
          <cell r="S122">
            <v>23763.984697623364</v>
          </cell>
        </row>
        <row r="124">
          <cell r="E124">
            <v>2130.0173506103406</v>
          </cell>
          <cell r="I124">
            <v>2637.9290612816585</v>
          </cell>
          <cell r="J124">
            <v>4767.9464118919987</v>
          </cell>
          <cell r="N124">
            <v>1976.7054696893852</v>
          </cell>
          <cell r="R124">
            <v>6644.8296118372409</v>
          </cell>
          <cell r="S124">
            <v>8621.5350815266265</v>
          </cell>
        </row>
        <row r="126">
          <cell r="E126">
            <v>449.59075000000001</v>
          </cell>
          <cell r="I126">
            <v>266.83080452000002</v>
          </cell>
          <cell r="J126">
            <v>716.42155451999997</v>
          </cell>
          <cell r="N126">
            <v>472.85</v>
          </cell>
          <cell r="R126">
            <v>291.80082540000001</v>
          </cell>
          <cell r="S126">
            <v>764.65082540000003</v>
          </cell>
        </row>
        <row r="127">
          <cell r="E127">
            <v>194.79075</v>
          </cell>
          <cell r="I127">
            <v>0</v>
          </cell>
          <cell r="J127">
            <v>194.79075</v>
          </cell>
          <cell r="N127">
            <v>202.65</v>
          </cell>
          <cell r="R127">
            <v>0</v>
          </cell>
          <cell r="S127">
            <v>202.65</v>
          </cell>
        </row>
        <row r="128">
          <cell r="E128">
            <v>254.8</v>
          </cell>
          <cell r="I128">
            <v>0</v>
          </cell>
          <cell r="J128">
            <v>254.8</v>
          </cell>
          <cell r="N128">
            <v>270.2</v>
          </cell>
          <cell r="R128">
            <v>0</v>
          </cell>
          <cell r="S128">
            <v>270.2</v>
          </cell>
        </row>
        <row r="129">
          <cell r="E129">
            <v>0</v>
          </cell>
          <cell r="I129">
            <v>266.83080452000002</v>
          </cell>
          <cell r="J129">
            <v>266.83080452000002</v>
          </cell>
          <cell r="N129">
            <v>0</v>
          </cell>
          <cell r="R129">
            <v>291.80082540000001</v>
          </cell>
          <cell r="S129">
            <v>291.80082540000001</v>
          </cell>
        </row>
        <row r="130">
          <cell r="E130">
            <v>473.76244545302404</v>
          </cell>
          <cell r="I130">
            <v>874.72668203163107</v>
          </cell>
          <cell r="J130">
            <v>1348.489127484655</v>
          </cell>
          <cell r="N130">
            <v>278.69200000000001</v>
          </cell>
          <cell r="R130">
            <v>851.56048323959988</v>
          </cell>
          <cell r="S130">
            <v>1130.2524832395998</v>
          </cell>
        </row>
        <row r="131">
          <cell r="E131">
            <v>473.76244545302404</v>
          </cell>
          <cell r="I131">
            <v>50.380141471879007</v>
          </cell>
          <cell r="J131">
            <v>524.14258692490307</v>
          </cell>
          <cell r="N131">
            <v>278.69200000000001</v>
          </cell>
          <cell r="R131">
            <v>0</v>
          </cell>
          <cell r="S131">
            <v>278.69200000000001</v>
          </cell>
        </row>
        <row r="132">
          <cell r="E132">
            <v>0</v>
          </cell>
          <cell r="I132">
            <v>67.192935569592009</v>
          </cell>
          <cell r="J132">
            <v>67.192935569592009</v>
          </cell>
          <cell r="N132">
            <v>0</v>
          </cell>
          <cell r="R132">
            <v>33.016045412399997</v>
          </cell>
          <cell r="S132">
            <v>33.016045412399997</v>
          </cell>
        </row>
        <row r="133">
          <cell r="E133">
            <v>0</v>
          </cell>
          <cell r="I133">
            <v>757.15360499016003</v>
          </cell>
          <cell r="J133">
            <v>757.15360499016003</v>
          </cell>
          <cell r="N133">
            <v>0</v>
          </cell>
          <cell r="R133">
            <v>818.54443782719989</v>
          </cell>
          <cell r="S133">
            <v>818.54443782719989</v>
          </cell>
        </row>
        <row r="134">
          <cell r="E134">
            <v>311.62274944596419</v>
          </cell>
          <cell r="I134">
            <v>972.9175197720142</v>
          </cell>
          <cell r="J134">
            <v>1284.5402692179784</v>
          </cell>
          <cell r="N134">
            <v>612.23192291965643</v>
          </cell>
          <cell r="R134">
            <v>5041.7570765346891</v>
          </cell>
          <cell r="S134">
            <v>5653.9889994543455</v>
          </cell>
        </row>
        <row r="135">
          <cell r="E135">
            <v>419.98249746440104</v>
          </cell>
          <cell r="I135">
            <v>0.32333425320000003</v>
          </cell>
          <cell r="J135">
            <v>420.30583171760105</v>
          </cell>
          <cell r="N135">
            <v>203.39039432000001</v>
          </cell>
          <cell r="R135">
            <v>7.0148999999999999</v>
          </cell>
          <cell r="S135">
            <v>210.40529432000002</v>
          </cell>
        </row>
        <row r="136">
          <cell r="E136">
            <v>265.63411239025498</v>
          </cell>
          <cell r="I136">
            <v>307.55647675197179</v>
          </cell>
          <cell r="J136">
            <v>573.19058914222683</v>
          </cell>
          <cell r="N136">
            <v>234.31190968511305</v>
          </cell>
          <cell r="R136">
            <v>282.16136777877392</v>
          </cell>
          <cell r="S136">
            <v>516.47327746388692</v>
          </cell>
        </row>
        <row r="137">
          <cell r="E137">
            <v>157.99432490165225</v>
          </cell>
          <cell r="I137">
            <v>153.81370127769</v>
          </cell>
          <cell r="J137">
            <v>311.80802617934228</v>
          </cell>
          <cell r="N137">
            <v>115.76454532099999</v>
          </cell>
          <cell r="R137">
            <v>101.45515513559998</v>
          </cell>
          <cell r="S137">
            <v>217.21970045659998</v>
          </cell>
        </row>
        <row r="138">
          <cell r="E138">
            <v>0</v>
          </cell>
          <cell r="I138">
            <v>0</v>
          </cell>
          <cell r="J138">
            <v>0</v>
          </cell>
          <cell r="N138">
            <v>0</v>
          </cell>
          <cell r="R138">
            <v>0</v>
          </cell>
          <cell r="S138">
            <v>0</v>
          </cell>
        </row>
        <row r="139">
          <cell r="E139">
            <v>30.439067994995</v>
          </cell>
          <cell r="I139">
            <v>37.711250626838996</v>
          </cell>
          <cell r="J139">
            <v>68.150318621834003</v>
          </cell>
          <cell r="N139">
            <v>23.0755793296</v>
          </cell>
          <cell r="R139">
            <v>35.642008669219045</v>
          </cell>
          <cell r="S139">
            <v>58.717587998819042</v>
          </cell>
        </row>
        <row r="140">
          <cell r="E140">
            <v>20.991402960049061</v>
          </cell>
          <cell r="I140">
            <v>24.049292048312672</v>
          </cell>
          <cell r="J140">
            <v>45.040695008361737</v>
          </cell>
          <cell r="N140">
            <v>36.389118114015581</v>
          </cell>
          <cell r="R140">
            <v>33.437795079358544</v>
          </cell>
          <cell r="S140">
            <v>69.826913193374125</v>
          </cell>
        </row>
        <row r="142">
          <cell r="E142">
            <v>1787.4404705768225</v>
          </cell>
          <cell r="I142">
            <v>2846.9828999410711</v>
          </cell>
          <cell r="J142">
            <v>4634.423370517894</v>
          </cell>
          <cell r="N142">
            <v>10351.372356234588</v>
          </cell>
          <cell r="R142">
            <v>4791.0772598621515</v>
          </cell>
          <cell r="S142">
            <v>15142.449616096739</v>
          </cell>
        </row>
        <row r="145">
          <cell r="E145">
            <v>0</v>
          </cell>
          <cell r="I145">
            <v>1142.006954655069</v>
          </cell>
          <cell r="J145">
            <v>1142.006954655069</v>
          </cell>
          <cell r="N145">
            <v>8289.735999999999</v>
          </cell>
          <cell r="R145">
            <v>0</v>
          </cell>
          <cell r="S145">
            <v>8289.735999999999</v>
          </cell>
        </row>
        <row r="146">
          <cell r="E146">
            <v>0</v>
          </cell>
          <cell r="I146">
            <v>238.87610022506902</v>
          </cell>
          <cell r="J146">
            <v>238.87610022506902</v>
          </cell>
          <cell r="N146">
            <v>8289.735999999999</v>
          </cell>
          <cell r="R146">
            <v>0</v>
          </cell>
          <cell r="S146">
            <v>8289.735999999999</v>
          </cell>
        </row>
        <row r="147">
          <cell r="E147">
            <v>0</v>
          </cell>
          <cell r="I147">
            <v>903.13085443</v>
          </cell>
          <cell r="J147">
            <v>903.13085443</v>
          </cell>
          <cell r="N147">
            <v>0</v>
          </cell>
          <cell r="R147">
            <v>0</v>
          </cell>
          <cell r="S147">
            <v>0</v>
          </cell>
        </row>
        <row r="148">
          <cell r="E148">
            <v>0</v>
          </cell>
          <cell r="I148">
            <v>0</v>
          </cell>
          <cell r="J148">
            <v>0</v>
          </cell>
          <cell r="N148">
            <v>0</v>
          </cell>
          <cell r="R148">
            <v>2929.5</v>
          </cell>
          <cell r="S148">
            <v>2929.5</v>
          </cell>
        </row>
        <row r="149">
          <cell r="E149">
            <v>343.368694</v>
          </cell>
          <cell r="I149">
            <v>174.84</v>
          </cell>
          <cell r="J149">
            <v>518.20869400000004</v>
          </cell>
          <cell r="N149">
            <v>315.90251966</v>
          </cell>
          <cell r="R149">
            <v>401.99999999999994</v>
          </cell>
          <cell r="S149">
            <v>717.90251965999994</v>
          </cell>
        </row>
        <row r="150">
          <cell r="E150">
            <v>431.44188530900578</v>
          </cell>
          <cell r="I150">
            <v>752.38597541268405</v>
          </cell>
          <cell r="J150">
            <v>1183.8278607216898</v>
          </cell>
          <cell r="N150">
            <v>528.79186560491814</v>
          </cell>
          <cell r="R150">
            <v>789.38341968664224</v>
          </cell>
          <cell r="S150">
            <v>1318.1752852915604</v>
          </cell>
        </row>
        <row r="151">
          <cell r="E151">
            <v>790.12497285030804</v>
          </cell>
          <cell r="I151">
            <v>534.79583377122117</v>
          </cell>
          <cell r="J151">
            <v>1324.9208066215292</v>
          </cell>
          <cell r="N151">
            <v>854.96078439339988</v>
          </cell>
          <cell r="R151">
            <v>597.04374814217999</v>
          </cell>
          <cell r="S151">
            <v>1452.00453253558</v>
          </cell>
        </row>
        <row r="152">
          <cell r="E152">
            <v>147.82693552590376</v>
          </cell>
          <cell r="I152">
            <v>98.040386668393396</v>
          </cell>
          <cell r="J152">
            <v>245.86732219429717</v>
          </cell>
          <cell r="N152">
            <v>348.65630851946958</v>
          </cell>
          <cell r="R152">
            <v>0</v>
          </cell>
          <cell r="S152">
            <v>348.65630851946958</v>
          </cell>
        </row>
        <row r="153">
          <cell r="E153">
            <v>9.9789181882899989</v>
          </cell>
          <cell r="I153">
            <v>49.917640924624003</v>
          </cell>
          <cell r="J153">
            <v>59.896559112914005</v>
          </cell>
          <cell r="N153">
            <v>13.185687509199997</v>
          </cell>
          <cell r="R153">
            <v>50.744867249253822</v>
          </cell>
          <cell r="S153">
            <v>63.930554758453823</v>
          </cell>
        </row>
        <row r="154">
          <cell r="E154">
            <v>64.699064703315116</v>
          </cell>
          <cell r="I154">
            <v>94.996108509079477</v>
          </cell>
          <cell r="J154">
            <v>159.69517321239459</v>
          </cell>
          <cell r="N154">
            <v>0.13919054759997587</v>
          </cell>
          <cell r="R154">
            <v>22.405224784076108</v>
          </cell>
          <cell r="S154">
            <v>22.544415331676085</v>
          </cell>
        </row>
        <row r="156">
          <cell r="E156">
            <v>7759.5347999999994</v>
          </cell>
          <cell r="I156">
            <v>558.57647546948806</v>
          </cell>
          <cell r="J156">
            <v>8318.1112754694877</v>
          </cell>
          <cell r="N156">
            <v>752.62305003999995</v>
          </cell>
          <cell r="R156">
            <v>564</v>
          </cell>
          <cell r="S156">
            <v>1316.62305004</v>
          </cell>
        </row>
        <row r="158">
          <cell r="A158" t="str">
            <v xml:space="preserve"> II .Compra de Act. Financ.</v>
          </cell>
          <cell r="B158">
            <v>3591.7033193199995</v>
          </cell>
          <cell r="C158">
            <v>3038.8773000000001</v>
          </cell>
          <cell r="D158">
            <v>1763.88</v>
          </cell>
          <cell r="E158">
            <v>8394.4606193199998</v>
          </cell>
          <cell r="F158">
            <v>4820.6109999999999</v>
          </cell>
          <cell r="G158">
            <v>3058.9380000000001</v>
          </cell>
          <cell r="H158">
            <v>6520.4467820149994</v>
          </cell>
          <cell r="I158">
            <v>14399.995782014999</v>
          </cell>
          <cell r="J158">
            <v>22794.456401334999</v>
          </cell>
          <cell r="K158">
            <v>0</v>
          </cell>
          <cell r="L158">
            <v>204.07599999999999</v>
          </cell>
          <cell r="M158">
            <v>0</v>
          </cell>
          <cell r="N158">
            <v>204.07599999999999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204.07599999999999</v>
          </cell>
          <cell r="T158">
            <v>22998.532401335</v>
          </cell>
        </row>
        <row r="159">
          <cell r="A159" t="str">
            <v xml:space="preserve">    Títulos y Valores</v>
          </cell>
          <cell r="B159">
            <v>1441.7553193199999</v>
          </cell>
          <cell r="C159">
            <v>450</v>
          </cell>
          <cell r="D159">
            <v>0</v>
          </cell>
          <cell r="E159">
            <v>1891.7553193199999</v>
          </cell>
          <cell r="F159">
            <v>0</v>
          </cell>
          <cell r="G159">
            <v>0</v>
          </cell>
          <cell r="H159">
            <v>1284.074782015</v>
          </cell>
          <cell r="I159">
            <v>1284.074782015</v>
          </cell>
          <cell r="J159">
            <v>3175.8301013350001</v>
          </cell>
          <cell r="K159">
            <v>0</v>
          </cell>
          <cell r="L159">
            <v>204.07599999999999</v>
          </cell>
          <cell r="M159">
            <v>0</v>
          </cell>
          <cell r="N159">
            <v>204.07599999999999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204.07599999999999</v>
          </cell>
          <cell r="T159">
            <v>3379.9061013350001</v>
          </cell>
          <cell r="U159">
            <v>24966.549644995001</v>
          </cell>
        </row>
        <row r="160">
          <cell r="E160">
            <v>6502.7053000000005</v>
          </cell>
          <cell r="I160">
            <v>13115.920999999998</v>
          </cell>
          <cell r="J160">
            <v>19618.6263</v>
          </cell>
          <cell r="N160">
            <v>0</v>
          </cell>
          <cell r="R160">
            <v>0</v>
          </cell>
          <cell r="S160">
            <v>0</v>
          </cell>
        </row>
        <row r="161">
          <cell r="E161">
            <v>0</v>
          </cell>
          <cell r="I161">
            <v>0</v>
          </cell>
          <cell r="J161">
            <v>0</v>
          </cell>
          <cell r="N161">
            <v>0</v>
          </cell>
          <cell r="R161">
            <v>0</v>
          </cell>
          <cell r="S161">
            <v>0</v>
          </cell>
        </row>
        <row r="162">
          <cell r="E162">
            <v>0</v>
          </cell>
          <cell r="I162">
            <v>0</v>
          </cell>
          <cell r="J162">
            <v>0</v>
          </cell>
          <cell r="N162">
            <v>0</v>
          </cell>
          <cell r="R162">
            <v>0</v>
          </cell>
          <cell r="S162">
            <v>0</v>
          </cell>
        </row>
        <row r="164">
          <cell r="E164">
            <v>2563.4811616800766</v>
          </cell>
          <cell r="I164">
            <v>3036.3036231005572</v>
          </cell>
          <cell r="J164">
            <v>5599.7847847806333</v>
          </cell>
          <cell r="N164">
            <v>2922.5067076121863</v>
          </cell>
          <cell r="R164">
            <v>12448.41831233451</v>
          </cell>
          <cell r="S164">
            <v>15370.925019946697</v>
          </cell>
        </row>
        <row r="165">
          <cell r="E165">
            <v>32.59332960389272</v>
          </cell>
          <cell r="I165">
            <v>35.584381651239006</v>
          </cell>
          <cell r="J165">
            <v>68.177711255131726</v>
          </cell>
          <cell r="N165">
            <v>42.073999999999991</v>
          </cell>
          <cell r="R165">
            <v>41.677183471623529</v>
          </cell>
          <cell r="S165">
            <v>83.75118347162352</v>
          </cell>
        </row>
        <row r="166">
          <cell r="E166">
            <v>32.59332960389272</v>
          </cell>
          <cell r="I166">
            <v>35.584381651239006</v>
          </cell>
          <cell r="J166">
            <v>68.177711255131726</v>
          </cell>
          <cell r="N166">
            <v>42.073999999999991</v>
          </cell>
          <cell r="R166">
            <v>41.677183471623529</v>
          </cell>
          <cell r="S166">
            <v>83.75118347162352</v>
          </cell>
        </row>
        <row r="167">
          <cell r="E167">
            <v>0</v>
          </cell>
          <cell r="I167">
            <v>0</v>
          </cell>
          <cell r="J167">
            <v>0</v>
          </cell>
          <cell r="N167">
            <v>0</v>
          </cell>
          <cell r="R167">
            <v>0</v>
          </cell>
          <cell r="S167">
            <v>0</v>
          </cell>
        </row>
        <row r="168">
          <cell r="E168">
            <v>0</v>
          </cell>
          <cell r="I168">
            <v>0</v>
          </cell>
          <cell r="J168">
            <v>0</v>
          </cell>
          <cell r="N168">
            <v>0</v>
          </cell>
          <cell r="R168">
            <v>0</v>
          </cell>
          <cell r="S168">
            <v>0</v>
          </cell>
        </row>
        <row r="169">
          <cell r="E169">
            <v>95.734023066134</v>
          </cell>
          <cell r="I169">
            <v>210.87047210477903</v>
          </cell>
          <cell r="J169">
            <v>306.60449517091303</v>
          </cell>
          <cell r="N169">
            <v>93.219880200727331</v>
          </cell>
          <cell r="R169">
            <v>204.76844916744946</v>
          </cell>
          <cell r="S169">
            <v>297.98832936817678</v>
          </cell>
        </row>
        <row r="170">
          <cell r="E170">
            <v>91.132105973143993</v>
          </cell>
          <cell r="I170">
            <v>90.233490856688007</v>
          </cell>
          <cell r="J170">
            <v>181.36559682983199</v>
          </cell>
          <cell r="N170">
            <v>88.549280200727324</v>
          </cell>
          <cell r="R170">
            <v>89.758534666089474</v>
          </cell>
          <cell r="S170">
            <v>178.30781486681678</v>
          </cell>
        </row>
        <row r="171">
          <cell r="E171">
            <v>4.6019170929900008</v>
          </cell>
          <cell r="I171">
            <v>110.58129285248501</v>
          </cell>
          <cell r="J171">
            <v>115.18320994547501</v>
          </cell>
          <cell r="N171">
            <v>4.6706000000000003</v>
          </cell>
          <cell r="R171">
            <v>104.28441854495999</v>
          </cell>
          <cell r="S171">
            <v>108.95501854495998</v>
          </cell>
        </row>
        <row r="172">
          <cell r="E172">
            <v>0</v>
          </cell>
          <cell r="I172">
            <v>10.055688395605999</v>
          </cell>
          <cell r="J172">
            <v>10.055688395605999</v>
          </cell>
          <cell r="N172">
            <v>0</v>
          </cell>
          <cell r="R172">
            <v>10.725495956399998</v>
          </cell>
          <cell r="S172">
            <v>10.725495956399998</v>
          </cell>
        </row>
        <row r="173">
          <cell r="E173">
            <v>58.563445428620994</v>
          </cell>
          <cell r="I173">
            <v>58.931624269638995</v>
          </cell>
          <cell r="J173">
            <v>117.49506969825998</v>
          </cell>
          <cell r="N173">
            <v>54.422091460458972</v>
          </cell>
          <cell r="R173">
            <v>51.39675401585999</v>
          </cell>
          <cell r="S173">
            <v>105.81884547631896</v>
          </cell>
        </row>
        <row r="174">
          <cell r="E174">
            <v>49.140087589887003</v>
          </cell>
          <cell r="I174">
            <v>56.974977154656997</v>
          </cell>
          <cell r="J174">
            <v>106.115064744544</v>
          </cell>
          <cell r="N174">
            <v>44.790055263599996</v>
          </cell>
          <cell r="R174">
            <v>49.91707390325999</v>
          </cell>
          <cell r="S174">
            <v>94.707129166859986</v>
          </cell>
        </row>
        <row r="175">
          <cell r="E175">
            <v>1.2497724428399999</v>
          </cell>
          <cell r="I175">
            <v>1.9566471149820002</v>
          </cell>
          <cell r="J175">
            <v>3.2064195578220001</v>
          </cell>
          <cell r="N175">
            <v>1.1555840645589797</v>
          </cell>
          <cell r="R175">
            <v>1.4796801125999999</v>
          </cell>
          <cell r="S175">
            <v>2.6352641771589793</v>
          </cell>
        </row>
        <row r="176">
          <cell r="E176">
            <v>8.1735853958939995</v>
          </cell>
          <cell r="I176">
            <v>0</v>
          </cell>
          <cell r="J176">
            <v>8.1735853958939995</v>
          </cell>
          <cell r="N176">
            <v>8.4764521323000004</v>
          </cell>
          <cell r="R176">
            <v>0</v>
          </cell>
          <cell r="S176">
            <v>8.4764521323000004</v>
          </cell>
        </row>
        <row r="177">
          <cell r="E177">
            <v>18.961777992216</v>
          </cell>
          <cell r="I177">
            <v>2.0234450749000001</v>
          </cell>
          <cell r="J177">
            <v>20.985223067115999</v>
          </cell>
          <cell r="N177">
            <v>18.808665425000001</v>
          </cell>
          <cell r="R177">
            <v>0</v>
          </cell>
          <cell r="S177">
            <v>18.808665425000001</v>
          </cell>
        </row>
        <row r="178">
          <cell r="E178">
            <v>447</v>
          </cell>
          <cell r="I178">
            <v>59</v>
          </cell>
          <cell r="J178">
            <v>506</v>
          </cell>
          <cell r="N178">
            <v>64</v>
          </cell>
          <cell r="R178">
            <v>252</v>
          </cell>
          <cell r="S178">
            <v>316</v>
          </cell>
        </row>
        <row r="179">
          <cell r="E179">
            <v>138.41400000000002</v>
          </cell>
          <cell r="I179">
            <v>198.25150000000002</v>
          </cell>
          <cell r="J179">
            <v>336.66550000000007</v>
          </cell>
          <cell r="N179">
            <v>95.182070526000004</v>
          </cell>
          <cell r="R179">
            <v>181.31592567957478</v>
          </cell>
          <cell r="S179">
            <v>276.49799620557479</v>
          </cell>
        </row>
        <row r="180">
          <cell r="E180">
            <v>1301.6399999999999</v>
          </cell>
          <cell r="I180">
            <v>2318.65</v>
          </cell>
          <cell r="J180">
            <v>3620.29</v>
          </cell>
          <cell r="N180">
            <v>2253</v>
          </cell>
          <cell r="R180">
            <v>2018.52</v>
          </cell>
          <cell r="S180">
            <v>4271.5200000000004</v>
          </cell>
        </row>
        <row r="181">
          <cell r="E181">
            <v>0</v>
          </cell>
          <cell r="I181">
            <v>0</v>
          </cell>
          <cell r="J181">
            <v>0</v>
          </cell>
          <cell r="N181">
            <v>0</v>
          </cell>
          <cell r="R181">
            <v>0</v>
          </cell>
          <cell r="S181">
            <v>0</v>
          </cell>
        </row>
        <row r="182">
          <cell r="E182">
            <v>470.5745855892128</v>
          </cell>
          <cell r="I182">
            <v>152.9922</v>
          </cell>
          <cell r="J182">
            <v>623.56678558921283</v>
          </cell>
          <cell r="N182">
            <v>301.79999999999995</v>
          </cell>
          <cell r="R182">
            <v>9698.7400000000016</v>
          </cell>
          <cell r="S182">
            <v>10000.540000000001</v>
          </cell>
        </row>
        <row r="184">
          <cell r="E184">
            <v>-17151.90214099277</v>
          </cell>
          <cell r="I184">
            <v>8625.0108517090994</v>
          </cell>
          <cell r="J184">
            <v>-8526.891289283667</v>
          </cell>
          <cell r="N184">
            <v>-13297.431597237413</v>
          </cell>
          <cell r="R184">
            <v>-25435.381917300314</v>
          </cell>
          <cell r="S184">
            <v>-38732.813514537724</v>
          </cell>
        </row>
        <row r="186">
          <cell r="E186">
            <v>-6015.7447552821832</v>
          </cell>
          <cell r="I186">
            <v>2609.2660964269162</v>
          </cell>
          <cell r="J186">
            <v>2609.2660964269162</v>
          </cell>
          <cell r="N186">
            <v>-10688.165500810494</v>
          </cell>
          <cell r="R186">
            <v>-36123.547418110807</v>
          </cell>
          <cell r="S186">
            <v>-36123.5474181108</v>
          </cell>
        </row>
        <row r="194">
          <cell r="E194">
            <v>6015.7447552821832</v>
          </cell>
          <cell r="I194">
            <v>-2609.2660964269162</v>
          </cell>
          <cell r="J194">
            <v>-2609.2660964269162</v>
          </cell>
          <cell r="N194">
            <v>10688.165500810494</v>
          </cell>
          <cell r="R194">
            <v>36123.547418110807</v>
          </cell>
          <cell r="S194">
            <v>36123.5474181108</v>
          </cell>
        </row>
        <row r="197">
          <cell r="E197">
            <v>8420.7014238708471</v>
          </cell>
          <cell r="I197">
            <v>6063.9863512436477</v>
          </cell>
          <cell r="J197">
            <v>6063.9869077537151</v>
          </cell>
          <cell r="N197">
            <v>7949.444036734285</v>
          </cell>
          <cell r="R197">
            <v>22562.674562454318</v>
          </cell>
          <cell r="S197">
            <v>22562.674562454311</v>
          </cell>
        </row>
        <row r="198">
          <cell r="E198">
            <v>-2.4730001314310357E-5</v>
          </cell>
          <cell r="I198">
            <v>-2075.5352732679985</v>
          </cell>
          <cell r="J198">
            <v>-2075.5352732679985</v>
          </cell>
        </row>
        <row r="199">
          <cell r="E199">
            <v>8420.7019293899993</v>
          </cell>
          <cell r="I199">
            <v>8252.2635178700002</v>
          </cell>
          <cell r="J199">
            <v>8252.2635178700002</v>
          </cell>
        </row>
        <row r="202">
          <cell r="E202">
            <v>-2404.956668588663</v>
          </cell>
          <cell r="I202">
            <v>-8673.2524476705639</v>
          </cell>
          <cell r="J202">
            <v>-8673.2530041806313</v>
          </cell>
          <cell r="N202">
            <v>2738.721464076209</v>
          </cell>
          <cell r="R202">
            <v>13560.872855656491</v>
          </cell>
          <cell r="S202">
            <v>13560.872855656491</v>
          </cell>
        </row>
        <row r="206">
          <cell r="E206">
            <v>3100.7151836100011</v>
          </cell>
          <cell r="I206">
            <v>3753.0839271300001</v>
          </cell>
          <cell r="J206">
            <v>3753.0839271300001</v>
          </cell>
        </row>
        <row r="209">
          <cell r="I209">
            <v>-2609.2660964269162</v>
          </cell>
          <cell r="J209">
            <v>-2609.2660964269162</v>
          </cell>
        </row>
        <row r="210">
          <cell r="I210">
            <v>0</v>
          </cell>
          <cell r="J210">
            <v>0</v>
          </cell>
        </row>
        <row r="214">
          <cell r="R214">
            <v>-4.0199999999999996</v>
          </cell>
          <cell r="S214">
            <v>-4.0200000000000005</v>
          </cell>
        </row>
        <row r="226">
          <cell r="R226">
            <v>36123.547418110807</v>
          </cell>
        </row>
        <row r="248">
          <cell r="N248" t="e">
            <v>#DIV/0!</v>
          </cell>
          <cell r="R248">
            <v>2918.8430990931165</v>
          </cell>
          <cell r="S248">
            <v>6037.4009257125581</v>
          </cell>
        </row>
        <row r="250">
          <cell r="N250" t="e">
            <v>#DIV/0!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84ED-67C8-4E99-8DAF-05754733E637}">
  <sheetPr>
    <tabColor rgb="FF345AA6"/>
  </sheetPr>
  <dimension ref="A1:H15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32.7109375" style="253" bestFit="1" customWidth="1"/>
    <col min="2" max="6" width="10.42578125" style="253" customWidth="1"/>
    <col min="7" max="16384" width="11.42578125" style="253"/>
  </cols>
  <sheetData>
    <row r="1" spans="1:8" ht="15.75" x14ac:dyDescent="0.25">
      <c r="A1" s="123" t="s">
        <v>114</v>
      </c>
      <c r="B1" s="260"/>
      <c r="C1" s="260"/>
      <c r="D1" s="260"/>
      <c r="E1" s="261"/>
      <c r="F1" s="261"/>
    </row>
    <row r="2" spans="1:8" x14ac:dyDescent="0.2">
      <c r="A2" s="254" t="s">
        <v>130</v>
      </c>
      <c r="B2" s="262"/>
      <c r="C2" s="262"/>
      <c r="D2" s="262"/>
      <c r="E2" s="263"/>
      <c r="F2" s="263"/>
    </row>
    <row r="3" spans="1:8" x14ac:dyDescent="0.2">
      <c r="A3" s="285"/>
      <c r="B3" s="322" t="s">
        <v>115</v>
      </c>
      <c r="C3" s="322" t="s">
        <v>116</v>
      </c>
      <c r="D3" s="323" t="s">
        <v>117</v>
      </c>
      <c r="E3" s="324"/>
      <c r="F3" s="325"/>
    </row>
    <row r="4" spans="1:8" ht="22.5" x14ac:dyDescent="0.2">
      <c r="A4" s="286"/>
      <c r="B4" s="322" t="s">
        <v>118</v>
      </c>
      <c r="C4" s="322" t="s">
        <v>118</v>
      </c>
      <c r="D4" s="322" t="s">
        <v>119</v>
      </c>
      <c r="E4" s="322" t="s">
        <v>38</v>
      </c>
      <c r="F4" s="322" t="s">
        <v>118</v>
      </c>
    </row>
    <row r="5" spans="1:8" ht="17.25" customHeight="1" x14ac:dyDescent="0.2">
      <c r="A5" s="326" t="s">
        <v>120</v>
      </c>
      <c r="B5" s="327">
        <f>+SUM(B6:B7)</f>
        <v>63602.289913463785</v>
      </c>
      <c r="C5" s="327">
        <f t="shared" ref="C5:F5" si="0">+SUM(C6:C7)</f>
        <v>124345.45583412863</v>
      </c>
      <c r="D5" s="327">
        <f t="shared" si="0"/>
        <v>107788.76643431609</v>
      </c>
      <c r="E5" s="327">
        <f t="shared" si="0"/>
        <v>77343.663218216781</v>
      </c>
      <c r="F5" s="327">
        <f t="shared" si="0"/>
        <v>185132.42965253288</v>
      </c>
    </row>
    <row r="6" spans="1:8" ht="17.25" customHeight="1" x14ac:dyDescent="0.2">
      <c r="A6" s="328" t="s">
        <v>108</v>
      </c>
      <c r="B6" s="329">
        <f>+SUM('Perfil de vencimientos'!D8:D12)</f>
        <v>31064.384644088906</v>
      </c>
      <c r="C6" s="329">
        <f>+SUM('Perfil de vencimientos'!D8:D18)</f>
        <v>72244.751262551697</v>
      </c>
      <c r="D6" s="329">
        <f>+'Perfil de vencimientos'!C38</f>
        <v>66071.634578966099</v>
      </c>
      <c r="E6" s="329">
        <f>+'Perfil de vencimientos'!B38</f>
        <v>59238.506833419204</v>
      </c>
      <c r="F6" s="330">
        <f>+SUM(D6:E6)</f>
        <v>125310.1414123853</v>
      </c>
    </row>
    <row r="7" spans="1:8" ht="17.25" customHeight="1" x14ac:dyDescent="0.2">
      <c r="A7" s="331" t="s">
        <v>107</v>
      </c>
      <c r="B7" s="332">
        <f>+SUM('Perfil de vencimientos'!G8:G12)</f>
        <v>32537.905269374874</v>
      </c>
      <c r="C7" s="332">
        <f>+SUM('Perfil de vencimientos'!G8:G18)</f>
        <v>52100.704571576927</v>
      </c>
      <c r="D7" s="332">
        <f>+'Perfil de vencimientos'!F38</f>
        <v>41717.131855349995</v>
      </c>
      <c r="E7" s="332">
        <f>+'Perfil de vencimientos'!E38</f>
        <v>18105.156384797578</v>
      </c>
      <c r="F7" s="333">
        <f>+SUM(D7:E7)</f>
        <v>59822.288240147573</v>
      </c>
    </row>
    <row r="8" spans="1:8" ht="17.25" customHeight="1" x14ac:dyDescent="0.2">
      <c r="A8" s="326" t="s">
        <v>121</v>
      </c>
      <c r="B8" s="327">
        <f>+SUM(B9:B10)</f>
        <v>7498.2332364618396</v>
      </c>
      <c r="C8" s="327">
        <f t="shared" ref="C8:F8" si="1">+SUM(C9:C10)</f>
        <v>75383.904268265615</v>
      </c>
      <c r="D8" s="327">
        <f t="shared" si="1"/>
        <v>110614.30829343424</v>
      </c>
      <c r="E8" s="327">
        <f t="shared" si="1"/>
        <v>34956.116907482836</v>
      </c>
      <c r="F8" s="327">
        <f t="shared" si="1"/>
        <v>145570.42520091709</v>
      </c>
    </row>
    <row r="9" spans="1:8" ht="17.25" customHeight="1" x14ac:dyDescent="0.2">
      <c r="A9" s="328" t="s">
        <v>108</v>
      </c>
      <c r="B9" s="329">
        <f>+SUM('Perfil de vencimientos'!N8:N12)</f>
        <v>4590.4349070646358</v>
      </c>
      <c r="C9" s="329">
        <f>+SUM('Perfil de vencimientos'!N8:N18)</f>
        <v>42692.484612820088</v>
      </c>
      <c r="D9" s="329">
        <f>+'Perfil de vencimientos'!M38</f>
        <v>67595.830497366944</v>
      </c>
      <c r="E9" s="329">
        <f>+'Perfil de vencimientos'!L38</f>
        <v>23190.80364400836</v>
      </c>
      <c r="F9" s="330">
        <f t="shared" ref="F9:F13" si="2">+SUM(D9:E9)</f>
        <v>90786.634141375311</v>
      </c>
      <c r="G9" s="255"/>
      <c r="H9" s="283"/>
    </row>
    <row r="10" spans="1:8" ht="17.25" customHeight="1" x14ac:dyDescent="0.2">
      <c r="A10" s="331" t="s">
        <v>107</v>
      </c>
      <c r="B10" s="332">
        <f>+SUM('Perfil de vencimientos'!Q8:Q12)</f>
        <v>2907.7983293972043</v>
      </c>
      <c r="C10" s="332">
        <f>+SUM('Perfil de vencimientos'!Q8:Q18)</f>
        <v>32691.419655445519</v>
      </c>
      <c r="D10" s="332">
        <f>+'Perfil de vencimientos'!P38</f>
        <v>43018.477796067295</v>
      </c>
      <c r="E10" s="332">
        <f>+'Perfil de vencimientos'!O38</f>
        <v>11765.313263474478</v>
      </c>
      <c r="F10" s="333">
        <f t="shared" si="2"/>
        <v>54783.791059541771</v>
      </c>
    </row>
    <row r="11" spans="1:8" ht="18" customHeight="1" x14ac:dyDescent="0.2">
      <c r="A11" s="326" t="s">
        <v>122</v>
      </c>
      <c r="B11" s="327">
        <f>+SUM(B12:B13)</f>
        <v>56104.056677001943</v>
      </c>
      <c r="C11" s="327">
        <f t="shared" ref="C11:F11" si="3">+SUM(C12:C13)</f>
        <v>48961.551565863017</v>
      </c>
      <c r="D11" s="327">
        <f t="shared" si="3"/>
        <v>-2825.5418591181442</v>
      </c>
      <c r="E11" s="327">
        <f t="shared" si="3"/>
        <v>42387.546310733946</v>
      </c>
      <c r="F11" s="327">
        <f t="shared" si="3"/>
        <v>39562.004451615801</v>
      </c>
    </row>
    <row r="12" spans="1:8" ht="18" customHeight="1" x14ac:dyDescent="0.2">
      <c r="A12" s="328" t="s">
        <v>108</v>
      </c>
      <c r="B12" s="329">
        <f t="shared" ref="B12:E13" si="4">+B6-B9</f>
        <v>26473.949737024272</v>
      </c>
      <c r="C12" s="329">
        <f t="shared" si="4"/>
        <v>29552.26664973161</v>
      </c>
      <c r="D12" s="329">
        <f t="shared" si="4"/>
        <v>-1524.1959184008447</v>
      </c>
      <c r="E12" s="329">
        <f t="shared" si="4"/>
        <v>36047.703189410844</v>
      </c>
      <c r="F12" s="330">
        <f t="shared" si="2"/>
        <v>34523.507271009999</v>
      </c>
    </row>
    <row r="13" spans="1:8" ht="18" customHeight="1" x14ac:dyDescent="0.2">
      <c r="A13" s="331" t="s">
        <v>107</v>
      </c>
      <c r="B13" s="332">
        <f t="shared" si="4"/>
        <v>29630.106939977672</v>
      </c>
      <c r="C13" s="332">
        <f t="shared" si="4"/>
        <v>19409.284916131408</v>
      </c>
      <c r="D13" s="332">
        <f t="shared" si="4"/>
        <v>-1301.3459407172995</v>
      </c>
      <c r="E13" s="332">
        <f t="shared" si="4"/>
        <v>6339.8431213230997</v>
      </c>
      <c r="F13" s="333">
        <f t="shared" si="2"/>
        <v>5038.4971806058002</v>
      </c>
    </row>
    <row r="14" spans="1:8" x14ac:dyDescent="0.2">
      <c r="A14" s="253" t="s">
        <v>129</v>
      </c>
      <c r="F14" s="255"/>
    </row>
    <row r="15" spans="1:8" x14ac:dyDescent="0.2">
      <c r="B15" s="284"/>
      <c r="C15" s="284"/>
      <c r="F15" s="284"/>
    </row>
  </sheetData>
  <mergeCells count="2">
    <mergeCell ref="A3:A4"/>
    <mergeCell ref="D3:F3"/>
  </mergeCells>
  <pageMargins left="0.7" right="0.7" top="0.75" bottom="0.75" header="0.3" footer="0.3"/>
  <pageSetup orientation="portrait" r:id="rId1"/>
  <ignoredErrors>
    <ignoredError sqref="F8 F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F16E-0CF3-4C09-87A5-03E02593CBF7}">
  <sheetPr codeName="Hoja12">
    <tabColor rgb="FF345AA6"/>
  </sheetPr>
  <dimension ref="A1:Q35"/>
  <sheetViews>
    <sheetView showGridLines="0" zoomScaleNormal="100" workbookViewId="0"/>
  </sheetViews>
  <sheetFormatPr baseColWidth="10" defaultColWidth="11.42578125" defaultRowHeight="12.75" x14ac:dyDescent="0.2"/>
  <cols>
    <col min="1" max="1" width="17" style="2" bestFit="1" customWidth="1"/>
    <col min="2" max="2" width="11.5703125" style="41" customWidth="1"/>
    <col min="3" max="4" width="11.5703125" style="2" customWidth="1"/>
    <col min="5" max="14" width="8.42578125" style="2" customWidth="1"/>
    <col min="15" max="15" width="11.42578125" style="2"/>
    <col min="16" max="16" width="13.85546875" style="2" bestFit="1" customWidth="1"/>
    <col min="17" max="17" width="11.42578125" style="195"/>
    <col min="18" max="16384" width="11.42578125" style="2"/>
  </cols>
  <sheetData>
    <row r="1" spans="1:17" s="21" customFormat="1" ht="15.75" x14ac:dyDescent="0.25">
      <c r="A1" s="123" t="s">
        <v>136</v>
      </c>
      <c r="B1" s="22"/>
      <c r="G1" s="7"/>
      <c r="Q1" s="194"/>
    </row>
    <row r="2" spans="1:17" x14ac:dyDescent="0.2">
      <c r="A2" s="14" t="s">
        <v>145</v>
      </c>
    </row>
    <row r="3" spans="1:17" x14ac:dyDescent="0.2">
      <c r="A3" s="14"/>
    </row>
    <row r="4" spans="1:17" ht="13.5" customHeight="1" x14ac:dyDescent="0.2">
      <c r="A4" s="289" t="s">
        <v>95</v>
      </c>
      <c r="B4" s="296" t="s">
        <v>72</v>
      </c>
      <c r="C4" s="296"/>
      <c r="D4" s="296"/>
      <c r="E4" s="292" t="s">
        <v>90</v>
      </c>
      <c r="F4" s="293"/>
      <c r="G4" s="293"/>
      <c r="H4" s="293"/>
      <c r="I4" s="293"/>
      <c r="J4" s="293"/>
      <c r="K4" s="293"/>
      <c r="L4" s="293"/>
      <c r="M4" s="293"/>
      <c r="N4" s="294"/>
    </row>
    <row r="5" spans="1:17" s="17" customFormat="1" ht="13.5" customHeight="1" x14ac:dyDescent="0.2">
      <c r="A5" s="290"/>
      <c r="B5" s="287" t="s">
        <v>39</v>
      </c>
      <c r="C5" s="287" t="s">
        <v>97</v>
      </c>
      <c r="D5" s="287" t="s">
        <v>88</v>
      </c>
      <c r="E5" s="295" t="s">
        <v>1</v>
      </c>
      <c r="F5" s="295"/>
      <c r="G5" s="295" t="s">
        <v>2</v>
      </c>
      <c r="H5" s="295"/>
      <c r="I5" s="295" t="s">
        <v>3</v>
      </c>
      <c r="J5" s="295"/>
      <c r="K5" s="295" t="s">
        <v>4</v>
      </c>
      <c r="L5" s="295"/>
      <c r="M5" s="295" t="s">
        <v>5</v>
      </c>
      <c r="N5" s="295"/>
      <c r="Q5" s="196"/>
    </row>
    <row r="6" spans="1:17" s="17" customFormat="1" ht="27" customHeight="1" x14ac:dyDescent="0.2">
      <c r="A6" s="291"/>
      <c r="B6" s="288"/>
      <c r="C6" s="288"/>
      <c r="D6" s="288"/>
      <c r="E6" s="181" t="s">
        <v>91</v>
      </c>
      <c r="F6" s="27" t="s">
        <v>73</v>
      </c>
      <c r="G6" s="27" t="s">
        <v>91</v>
      </c>
      <c r="H6" s="27" t="s">
        <v>73</v>
      </c>
      <c r="I6" s="27" t="s">
        <v>91</v>
      </c>
      <c r="J6" s="27" t="s">
        <v>73</v>
      </c>
      <c r="K6" s="27" t="s">
        <v>91</v>
      </c>
      <c r="L6" s="27" t="s">
        <v>73</v>
      </c>
      <c r="M6" s="27" t="s">
        <v>91</v>
      </c>
      <c r="N6" s="27" t="s">
        <v>73</v>
      </c>
      <c r="P6" s="106" t="s">
        <v>73</v>
      </c>
      <c r="Q6" s="197" t="s">
        <v>74</v>
      </c>
    </row>
    <row r="7" spans="1:17" x14ac:dyDescent="0.2">
      <c r="A7" s="43" t="s">
        <v>50</v>
      </c>
      <c r="B7" s="207">
        <f>+C7+D7</f>
        <v>57.21737170150945</v>
      </c>
      <c r="C7" s="193">
        <f>+E7*F7+G7*H7+I7*J7+K7*L7+M7*N7+VLOOKUP($A7,'Intereses corridos'!$A$6:$J$26,8,FALSE)*$Q$13/100</f>
        <v>55.741625534412769</v>
      </c>
      <c r="D7" s="193">
        <f>+VLOOKUP($A7,'Intereses corridos'!$A$6:$J$26,9,FALSE)*$Q$13/100</f>
        <v>1.4757461670966812</v>
      </c>
      <c r="E7" s="44">
        <f>+VLOOKUP($A7,'Eleccion de canje'!$C$6:$T$26,6,FALSE)/VLOOKUP($A7,'Eleccion de canje'!$C$6:$T$26,18,FALSE)</f>
        <v>1</v>
      </c>
      <c r="F7" s="182">
        <f>+$Q$7</f>
        <v>53.72924439746275</v>
      </c>
      <c r="G7" s="44">
        <f>+VLOOKUP($A7,'Eleccion de canje'!$C$6:$T$26,7,FALSE)/VLOOKUP($A7,'Eleccion de canje'!$C$6:$T$26,18,FALSE)</f>
        <v>0</v>
      </c>
      <c r="H7" s="182">
        <f>+$Q$8</f>
        <v>51.857073594689155</v>
      </c>
      <c r="I7" s="44">
        <f>+VLOOKUP($A7,'Eleccion de canje'!$C$6:$T$26,8,FALSE)/VLOOKUP($A7,'Eleccion de canje'!$C$6:$T$26,18,FALSE)</f>
        <v>0</v>
      </c>
      <c r="J7" s="182">
        <f>+$Q$9</f>
        <v>59.46928226786499</v>
      </c>
      <c r="K7" s="44">
        <f>+VLOOKUP($A7,'Eleccion de canje'!$C$6:$T$26,9,FALSE)/VLOOKUP($A7,'Eleccion de canje'!$C$6:$T$26,18,FALSE)</f>
        <v>0</v>
      </c>
      <c r="L7" s="182">
        <f>+$Q$10</f>
        <v>52.488439364001735</v>
      </c>
      <c r="M7" s="44">
        <f>+VLOOKUP($A7,'Eleccion de canje'!$C$6:$T$26,10,FALSE)/VLOOKUP($A7,'Eleccion de canje'!$C$6:$T$26,18,FALSE)</f>
        <v>0</v>
      </c>
      <c r="N7" s="182">
        <f>$Q$11</f>
        <v>50.821762672544445</v>
      </c>
      <c r="O7" s="45"/>
      <c r="P7" s="46" t="s">
        <v>1</v>
      </c>
      <c r="Q7" s="198">
        <f>+HLOOKUP(P7,'Nuevos Bonos'!$B$6:$M$17,12,FALSE)</f>
        <v>53.72924439746275</v>
      </c>
    </row>
    <row r="8" spans="1:17" x14ac:dyDescent="0.2">
      <c r="A8" s="43" t="s">
        <v>46</v>
      </c>
      <c r="B8" s="208">
        <f t="shared" ref="B8:B19" si="0">+C8+D8</f>
        <v>55.723331160440495</v>
      </c>
      <c r="C8" s="209">
        <f>+E8*F8+G8*H8+I8*J8+K8*L8+M8*N8+VLOOKUP($A8,'Intereses corridos'!$A$6:$J$26,8,FALSE)*$Q$13/100</f>
        <v>54.515902478270483</v>
      </c>
      <c r="D8" s="209">
        <f>+VLOOKUP($A8,'Intereses corridos'!$A$6:$J$26,9,FALSE)*$Q$13/100</f>
        <v>1.2074286821700118</v>
      </c>
      <c r="E8" s="47">
        <f>+VLOOKUP($A8,'Eleccion de canje'!$C$6:$T$26,6,FALSE)/VLOOKUP($A8,'Eleccion de canje'!$C$6:$T$26,18,FALSE)</f>
        <v>1</v>
      </c>
      <c r="F8" s="183">
        <f t="shared" ref="F8:F19" si="1">+$Q$7</f>
        <v>53.72924439746275</v>
      </c>
      <c r="G8" s="47">
        <f>+VLOOKUP($A8,'Eleccion de canje'!$C$6:$T$26,7,FALSE)/VLOOKUP($A8,'Eleccion de canje'!$C$6:$T$26,18,FALSE)</f>
        <v>0</v>
      </c>
      <c r="H8" s="183">
        <f t="shared" ref="H8:H19" si="2">+$Q$8</f>
        <v>51.857073594689155</v>
      </c>
      <c r="I8" s="47">
        <f>+VLOOKUP($A8,'Eleccion de canje'!$C$6:$T$26,8,FALSE)/VLOOKUP($A8,'Eleccion de canje'!$C$6:$T$26,18,FALSE)</f>
        <v>0</v>
      </c>
      <c r="J8" s="183">
        <f t="shared" ref="J8:J19" si="3">+$Q$9</f>
        <v>59.46928226786499</v>
      </c>
      <c r="K8" s="47">
        <f>+VLOOKUP($A8,'Eleccion de canje'!$C$6:$T$26,9,FALSE)/VLOOKUP($A8,'Eleccion de canje'!$C$6:$T$26,18,FALSE)</f>
        <v>0</v>
      </c>
      <c r="L8" s="183">
        <f t="shared" ref="L8:L19" si="4">+$Q$10</f>
        <v>52.488439364001735</v>
      </c>
      <c r="M8" s="47">
        <f>+VLOOKUP($A8,'Eleccion de canje'!$C$6:$T$26,10,FALSE)/VLOOKUP($A8,'Eleccion de canje'!$C$6:$T$26,18,FALSE)</f>
        <v>0</v>
      </c>
      <c r="N8" s="183">
        <f t="shared" ref="N8:N19" si="5">$Q$11</f>
        <v>50.821762672544445</v>
      </c>
      <c r="O8" s="45"/>
      <c r="P8" s="46" t="s">
        <v>2</v>
      </c>
      <c r="Q8" s="198">
        <f>+HLOOKUP(P8,'Nuevos Bonos'!$B$6:$M$17,12,FALSE)</f>
        <v>51.857073594689155</v>
      </c>
    </row>
    <row r="9" spans="1:17" x14ac:dyDescent="0.2">
      <c r="A9" s="43" t="s">
        <v>45</v>
      </c>
      <c r="B9" s="208">
        <f t="shared" si="0"/>
        <v>55.48164215318458</v>
      </c>
      <c r="C9" s="209">
        <f>+E9*F9+G9*H9+I9*J9+K9*L9+M9*N9+VLOOKUP($A9,'Intereses corridos'!$A$6:$J$26,8,FALSE)*$Q$13/100</f>
        <v>54.488867458955902</v>
      </c>
      <c r="D9" s="209">
        <f>+VLOOKUP($A9,'Intereses corridos'!$A$6:$J$26,9,FALSE)*$Q$13/100</f>
        <v>0.99277469422867637</v>
      </c>
      <c r="E9" s="47">
        <f>+VLOOKUP($A9,'Eleccion de canje'!$C$6:$T$26,6,FALSE)/VLOOKUP($A9,'Eleccion de canje'!$C$6:$T$26,18,FALSE)</f>
        <v>1</v>
      </c>
      <c r="F9" s="183">
        <f t="shared" si="1"/>
        <v>53.72924439746275</v>
      </c>
      <c r="G9" s="47">
        <f>+VLOOKUP($A9,'Eleccion de canje'!$C$6:$T$26,7,FALSE)/VLOOKUP($A9,'Eleccion de canje'!$C$6:$T$26,18,FALSE)</f>
        <v>0</v>
      </c>
      <c r="H9" s="183">
        <f t="shared" si="2"/>
        <v>51.857073594689155</v>
      </c>
      <c r="I9" s="47">
        <f>+VLOOKUP($A9,'Eleccion de canje'!$C$6:$T$26,8,FALSE)/VLOOKUP($A9,'Eleccion de canje'!$C$6:$T$26,18,FALSE)</f>
        <v>0</v>
      </c>
      <c r="J9" s="183">
        <f t="shared" si="3"/>
        <v>59.46928226786499</v>
      </c>
      <c r="K9" s="47">
        <f>+VLOOKUP($A9,'Eleccion de canje'!$C$6:$T$26,9,FALSE)/VLOOKUP($A9,'Eleccion de canje'!$C$6:$T$26,18,FALSE)</f>
        <v>0</v>
      </c>
      <c r="L9" s="183">
        <f t="shared" si="4"/>
        <v>52.488439364001735</v>
      </c>
      <c r="M9" s="47">
        <f>+VLOOKUP($A9,'Eleccion de canje'!$C$6:$T$26,10,FALSE)/VLOOKUP($A9,'Eleccion de canje'!$C$6:$T$26,18,FALSE)</f>
        <v>0</v>
      </c>
      <c r="N9" s="183">
        <f t="shared" si="5"/>
        <v>50.821762672544445</v>
      </c>
      <c r="O9" s="45"/>
      <c r="P9" s="46" t="s">
        <v>3</v>
      </c>
      <c r="Q9" s="198">
        <f>+HLOOKUP(P9,'Nuevos Bonos'!$B$6:$M$17,12,FALSE)</f>
        <v>59.46928226786499</v>
      </c>
    </row>
    <row r="10" spans="1:17" x14ac:dyDescent="0.2">
      <c r="A10" s="43" t="s">
        <v>54</v>
      </c>
      <c r="B10" s="208">
        <f t="shared" si="0"/>
        <v>56.180144232371987</v>
      </c>
      <c r="C10" s="209">
        <f>+E10*F10+G10*H10+I10*J10+K10*L10+M10*N10+VLOOKUP($A10,'Intereses corridos'!$A$6:$J$26,8,FALSE)*$Q$13/100</f>
        <v>54.570239322811972</v>
      </c>
      <c r="D10" s="209">
        <f>+VLOOKUP($A10,'Intereses corridos'!$A$6:$J$26,9,FALSE)*$Q$13/100</f>
        <v>1.6099049095600158</v>
      </c>
      <c r="E10" s="47">
        <f>+VLOOKUP($A10,'Eleccion de canje'!$C$6:$T$26,6,FALSE)/VLOOKUP($A10,'Eleccion de canje'!$C$6:$T$26,18,FALSE)</f>
        <v>0.27659914933129653</v>
      </c>
      <c r="F10" s="183">
        <f t="shared" si="1"/>
        <v>53.72924439746275</v>
      </c>
      <c r="G10" s="47">
        <f>+VLOOKUP($A10,'Eleccion de canje'!$C$6:$T$26,7,FALSE)/VLOOKUP($A10,'Eleccion de canje'!$C$6:$T$26,18,FALSE)</f>
        <v>0.72340085066870352</v>
      </c>
      <c r="H10" s="183">
        <f t="shared" si="2"/>
        <v>51.857073594689155</v>
      </c>
      <c r="I10" s="47">
        <f>+VLOOKUP($A10,'Eleccion de canje'!$C$6:$T$26,8,FALSE)/VLOOKUP($A10,'Eleccion de canje'!$C$6:$T$26,18,FALSE)</f>
        <v>0</v>
      </c>
      <c r="J10" s="183">
        <f t="shared" si="3"/>
        <v>59.46928226786499</v>
      </c>
      <c r="K10" s="47">
        <f>+VLOOKUP($A10,'Eleccion de canje'!$C$6:$T$26,9,FALSE)/VLOOKUP($A10,'Eleccion de canje'!$C$6:$T$26,18,FALSE)</f>
        <v>0</v>
      </c>
      <c r="L10" s="183">
        <f t="shared" si="4"/>
        <v>52.488439364001735</v>
      </c>
      <c r="M10" s="47">
        <f>+VLOOKUP($A10,'Eleccion de canje'!$C$6:$T$26,10,FALSE)/VLOOKUP($A10,'Eleccion de canje'!$C$6:$T$26,18,FALSE)</f>
        <v>0</v>
      </c>
      <c r="N10" s="183">
        <f t="shared" si="5"/>
        <v>50.821762672544445</v>
      </c>
      <c r="O10" s="45"/>
      <c r="P10" s="46" t="s">
        <v>4</v>
      </c>
      <c r="Q10" s="198">
        <f>+HLOOKUP(P10,'Nuevos Bonos'!$B$6:$M$17,12,FALSE)</f>
        <v>52.488439364001735</v>
      </c>
    </row>
    <row r="11" spans="1:17" x14ac:dyDescent="0.2">
      <c r="A11" s="43" t="s">
        <v>51</v>
      </c>
      <c r="B11" s="208">
        <f t="shared" si="0"/>
        <v>54.812131600889792</v>
      </c>
      <c r="C11" s="209">
        <f>+E11*F11+G11*H11+I11*J11+K11*L11+M11*N11+VLOOKUP($A11,'Intereses corridos'!$A$6:$J$26,8,FALSE)*$Q$13/100</f>
        <v>53.336385433793112</v>
      </c>
      <c r="D11" s="209">
        <f>+VLOOKUP($A11,'Intereses corridos'!$A$6:$J$26,9,FALSE)*$Q$13/100</f>
        <v>1.4757461670966812</v>
      </c>
      <c r="E11" s="47">
        <f>+VLOOKUP($A11,'Eleccion de canje'!$C$6:$T$26,6,FALSE)/VLOOKUP($A11,'Eleccion de canje'!$C$6:$T$26,18,FALSE)</f>
        <v>0.27659914933129642</v>
      </c>
      <c r="F11" s="183">
        <f t="shared" si="1"/>
        <v>53.72924439746275</v>
      </c>
      <c r="G11" s="47">
        <f>+VLOOKUP($A11,'Eleccion de canje'!$C$6:$T$26,7,FALSE)/VLOOKUP($A11,'Eleccion de canje'!$C$6:$T$26,18,FALSE)</f>
        <v>0.72340085066870352</v>
      </c>
      <c r="H11" s="183">
        <f t="shared" si="2"/>
        <v>51.857073594689155</v>
      </c>
      <c r="I11" s="47">
        <f>+VLOOKUP($A11,'Eleccion de canje'!$C$6:$T$26,8,FALSE)/VLOOKUP($A11,'Eleccion de canje'!$C$6:$T$26,18,FALSE)</f>
        <v>0</v>
      </c>
      <c r="J11" s="183">
        <f t="shared" si="3"/>
        <v>59.46928226786499</v>
      </c>
      <c r="K11" s="47">
        <f>+VLOOKUP($A11,'Eleccion de canje'!$C$6:$T$26,9,FALSE)/VLOOKUP($A11,'Eleccion de canje'!$C$6:$T$26,18,FALSE)</f>
        <v>0</v>
      </c>
      <c r="L11" s="183">
        <f t="shared" si="4"/>
        <v>52.488439364001735</v>
      </c>
      <c r="M11" s="47">
        <f>+VLOOKUP($A11,'Eleccion de canje'!$C$6:$T$26,10,FALSE)/VLOOKUP($A11,'Eleccion de canje'!$C$6:$T$26,18,FALSE)</f>
        <v>0</v>
      </c>
      <c r="N11" s="183">
        <f t="shared" si="5"/>
        <v>50.821762672544445</v>
      </c>
      <c r="O11" s="45"/>
      <c r="P11" s="48" t="s">
        <v>5</v>
      </c>
      <c r="Q11" s="199">
        <f>+HLOOKUP(P11,'Nuevos Bonos'!$B$6:$M$17,12,FALSE)</f>
        <v>50.821762672544445</v>
      </c>
    </row>
    <row r="12" spans="1:17" x14ac:dyDescent="0.2">
      <c r="A12" s="43" t="s">
        <v>47</v>
      </c>
      <c r="B12" s="208">
        <f t="shared" si="0"/>
        <v>54.600933216921</v>
      </c>
      <c r="C12" s="209">
        <f>+E12*F12+G12*H12+I12*J12+K12*L12+M12*N12+VLOOKUP($A12,'Intereses corridos'!$A$6:$J$26,8,FALSE)*$Q$13/100</f>
        <v>53.339841037765652</v>
      </c>
      <c r="D12" s="209">
        <f>+VLOOKUP($A12,'Intereses corridos'!$A$6:$J$26,9,FALSE)*$Q$13/100</f>
        <v>1.2610921791553458</v>
      </c>
      <c r="E12" s="47">
        <f>+VLOOKUP($A12,'Eleccion de canje'!$C$6:$T$26,6,FALSE)/VLOOKUP($A12,'Eleccion de canje'!$C$6:$T$26,18,FALSE)</f>
        <v>0.27659914933129648</v>
      </c>
      <c r="F12" s="183">
        <f t="shared" si="1"/>
        <v>53.72924439746275</v>
      </c>
      <c r="G12" s="47">
        <f>+VLOOKUP($A12,'Eleccion de canje'!$C$6:$T$26,7,FALSE)/VLOOKUP($A12,'Eleccion de canje'!$C$6:$T$26,18,FALSE)</f>
        <v>0.72340085066870352</v>
      </c>
      <c r="H12" s="183">
        <f t="shared" si="2"/>
        <v>51.857073594689155</v>
      </c>
      <c r="I12" s="47">
        <f>+VLOOKUP($A12,'Eleccion de canje'!$C$6:$T$26,8,FALSE)/VLOOKUP($A12,'Eleccion de canje'!$C$6:$T$26,18,FALSE)</f>
        <v>0</v>
      </c>
      <c r="J12" s="183">
        <f t="shared" si="3"/>
        <v>59.46928226786499</v>
      </c>
      <c r="K12" s="47">
        <f>+VLOOKUP($A12,'Eleccion de canje'!$C$6:$T$26,9,FALSE)/VLOOKUP($A12,'Eleccion de canje'!$C$6:$T$26,18,FALSE)</f>
        <v>0</v>
      </c>
      <c r="L12" s="183">
        <f t="shared" si="4"/>
        <v>52.488439364001735</v>
      </c>
      <c r="M12" s="47">
        <f>+VLOOKUP($A12,'Eleccion de canje'!$C$6:$T$26,10,FALSE)/VLOOKUP($A12,'Eleccion de canje'!$C$6:$T$26,18,FALSE)</f>
        <v>0</v>
      </c>
      <c r="N12" s="183">
        <f t="shared" si="5"/>
        <v>50.821762672544445</v>
      </c>
      <c r="O12" s="45"/>
    </row>
    <row r="13" spans="1:17" x14ac:dyDescent="0.2">
      <c r="A13" s="43" t="s">
        <v>48</v>
      </c>
      <c r="B13" s="208">
        <f t="shared" si="0"/>
        <v>54.938972593764227</v>
      </c>
      <c r="C13" s="209">
        <f>+E13*F13+G13*H13+I13*J13+K13*L13+M13*N13+VLOOKUP($A13,'Intereses corridos'!$A$6:$J$26,8,FALSE)*$Q$13/100</f>
        <v>53.516889923652883</v>
      </c>
      <c r="D13" s="209">
        <f>+VLOOKUP($A13,'Intereses corridos'!$A$6:$J$26,9,FALSE)*$Q$13/100</f>
        <v>1.4220826701113471</v>
      </c>
      <c r="E13" s="47">
        <f>+VLOOKUP($A13,'Eleccion de canje'!$C$6:$T$26,6,FALSE)/VLOOKUP($A13,'Eleccion de canje'!$C$6:$T$26,18,FALSE)</f>
        <v>0.27659914933129653</v>
      </c>
      <c r="F13" s="183">
        <f t="shared" si="1"/>
        <v>53.72924439746275</v>
      </c>
      <c r="G13" s="47">
        <f>+VLOOKUP($A13,'Eleccion de canje'!$C$6:$T$26,7,FALSE)/VLOOKUP($A13,'Eleccion de canje'!$C$6:$T$26,18,FALSE)</f>
        <v>0.72340085066870352</v>
      </c>
      <c r="H13" s="183">
        <f t="shared" si="2"/>
        <v>51.857073594689155</v>
      </c>
      <c r="I13" s="47">
        <f>+VLOOKUP($A13,'Eleccion de canje'!$C$6:$T$26,8,FALSE)/VLOOKUP($A13,'Eleccion de canje'!$C$6:$T$26,18,FALSE)</f>
        <v>0</v>
      </c>
      <c r="J13" s="183">
        <f t="shared" si="3"/>
        <v>59.46928226786499</v>
      </c>
      <c r="K13" s="47">
        <f>+VLOOKUP($A13,'Eleccion de canje'!$C$6:$T$26,9,FALSE)/VLOOKUP($A13,'Eleccion de canje'!$C$6:$T$26,18,FALSE)</f>
        <v>0</v>
      </c>
      <c r="L13" s="183">
        <f t="shared" si="4"/>
        <v>52.488439364001735</v>
      </c>
      <c r="M13" s="47">
        <f>+VLOOKUP($A13,'Eleccion de canje'!$C$6:$T$26,10,FALSE)/VLOOKUP($A13,'Eleccion de canje'!$C$6:$T$26,18,FALSE)</f>
        <v>0</v>
      </c>
      <c r="N13" s="183">
        <f t="shared" si="5"/>
        <v>50.821762672544445</v>
      </c>
      <c r="O13" s="45"/>
      <c r="P13" s="42" t="s">
        <v>98</v>
      </c>
      <c r="Q13" s="200">
        <f>+HLOOKUP(P13,'Nuevos Bonos'!$B$6:$M$17,12,FALSE)</f>
        <v>58.541996711273299</v>
      </c>
    </row>
    <row r="14" spans="1:17" x14ac:dyDescent="0.2">
      <c r="A14" s="43" t="s">
        <v>52</v>
      </c>
      <c r="B14" s="208">
        <f t="shared" si="0"/>
        <v>55.132486416226492</v>
      </c>
      <c r="C14" s="209">
        <f>+E14*F14+G14*H14+I14*J14+K14*L14+M14*N14+VLOOKUP($A14,'Intereses corridos'!$A$6:$J$26,8,FALSE)*$Q$13/100</f>
        <v>53.603076752144474</v>
      </c>
      <c r="D14" s="209">
        <f>+VLOOKUP($A14,'Intereses corridos'!$A$6:$J$26,9,FALSE)*$Q$13/100</f>
        <v>1.529409664082015</v>
      </c>
      <c r="E14" s="47">
        <f>+VLOOKUP($A14,'Eleccion de canje'!$C$6:$T$26,6,FALSE)/VLOOKUP($A14,'Eleccion de canje'!$C$6:$T$26,18,FALSE)</f>
        <v>0.27659914933129653</v>
      </c>
      <c r="F14" s="183">
        <f t="shared" si="1"/>
        <v>53.72924439746275</v>
      </c>
      <c r="G14" s="47">
        <f>+VLOOKUP($A14,'Eleccion de canje'!$C$6:$T$26,7,FALSE)/VLOOKUP($A14,'Eleccion de canje'!$C$6:$T$26,18,FALSE)</f>
        <v>0.72340085066870352</v>
      </c>
      <c r="H14" s="183">
        <f t="shared" si="2"/>
        <v>51.857073594689155</v>
      </c>
      <c r="I14" s="47">
        <f>+VLOOKUP($A14,'Eleccion de canje'!$C$6:$T$26,8,FALSE)/VLOOKUP($A14,'Eleccion de canje'!$C$6:$T$26,18,FALSE)</f>
        <v>0</v>
      </c>
      <c r="J14" s="183">
        <f t="shared" si="3"/>
        <v>59.46928226786499</v>
      </c>
      <c r="K14" s="47">
        <f>+VLOOKUP($A14,'Eleccion de canje'!$C$6:$T$26,9,FALSE)/VLOOKUP($A14,'Eleccion de canje'!$C$6:$T$26,18,FALSE)</f>
        <v>0</v>
      </c>
      <c r="L14" s="183">
        <f t="shared" si="4"/>
        <v>52.488439364001735</v>
      </c>
      <c r="M14" s="47">
        <f>+VLOOKUP($A14,'Eleccion de canje'!$C$6:$T$26,10,FALSE)/VLOOKUP($A14,'Eleccion de canje'!$C$6:$T$26,18,FALSE)</f>
        <v>0</v>
      </c>
      <c r="N14" s="183">
        <f t="shared" si="5"/>
        <v>50.821762672544445</v>
      </c>
      <c r="O14" s="45"/>
      <c r="P14" s="50"/>
      <c r="Q14" s="194"/>
    </row>
    <row r="15" spans="1:17" x14ac:dyDescent="0.2">
      <c r="A15" s="43" t="s">
        <v>55</v>
      </c>
      <c r="B15" s="208">
        <f t="shared" si="0"/>
        <v>55.72572387735913</v>
      </c>
      <c r="C15" s="209">
        <f>+E15*F15+G15*H15+I15*J15+K15*L15+M15*N15+VLOOKUP($A15,'Intereses corridos'!$A$6:$J$26,8,FALSE)*$Q$13/100</f>
        <v>54.088987219306446</v>
      </c>
      <c r="D15" s="209">
        <f>+VLOOKUP($A15,'Intereses corridos'!$A$6:$J$26,9,FALSE)*$Q$13/100</f>
        <v>1.6367366580526825</v>
      </c>
      <c r="E15" s="47">
        <f>+VLOOKUP($A15,'Eleccion de canje'!$C$6:$T$26,6,FALSE)/VLOOKUP($A15,'Eleccion de canje'!$C$6:$T$26,18,FALSE)</f>
        <v>0</v>
      </c>
      <c r="F15" s="183">
        <f t="shared" si="1"/>
        <v>53.72924439746275</v>
      </c>
      <c r="G15" s="47">
        <f>+VLOOKUP($A15,'Eleccion de canje'!$C$6:$T$26,7,FALSE)/VLOOKUP($A15,'Eleccion de canje'!$C$6:$T$26,18,FALSE)</f>
        <v>1</v>
      </c>
      <c r="H15" s="183">
        <f t="shared" si="2"/>
        <v>51.857073594689155</v>
      </c>
      <c r="I15" s="47">
        <f>+VLOOKUP($A15,'Eleccion de canje'!$C$6:$T$26,8,FALSE)/VLOOKUP($A15,'Eleccion de canje'!$C$6:$T$26,18,FALSE)</f>
        <v>0</v>
      </c>
      <c r="J15" s="183">
        <f t="shared" si="3"/>
        <v>59.46928226786499</v>
      </c>
      <c r="K15" s="47">
        <f>+VLOOKUP($A15,'Eleccion de canje'!$C$6:$T$26,9,FALSE)/VLOOKUP($A15,'Eleccion de canje'!$C$6:$T$26,18,FALSE)</f>
        <v>0</v>
      </c>
      <c r="L15" s="183">
        <f t="shared" si="4"/>
        <v>52.488439364001735</v>
      </c>
      <c r="M15" s="47">
        <f>+VLOOKUP($A15,'Eleccion de canje'!$C$6:$T$26,10,FALSE)/VLOOKUP($A15,'Eleccion de canje'!$C$6:$T$26,18,FALSE)</f>
        <v>0</v>
      </c>
      <c r="N15" s="183">
        <f t="shared" si="5"/>
        <v>50.821762672544445</v>
      </c>
      <c r="O15" s="45"/>
      <c r="P15" s="49"/>
      <c r="Q15" s="194"/>
    </row>
    <row r="16" spans="1:17" x14ac:dyDescent="0.2">
      <c r="A16" s="43" t="s">
        <v>49</v>
      </c>
      <c r="B16" s="208">
        <f t="shared" si="0"/>
        <v>54.461989177518902</v>
      </c>
      <c r="C16" s="209">
        <f>+E16*F16+G16*H16+I16*J16+K16*L16+M16*N16+VLOOKUP($A16,'Intereses corridos'!$A$6:$J$26,8,FALSE)*$Q$13/100</f>
        <v>52.986243010422221</v>
      </c>
      <c r="D16" s="209">
        <f>+VLOOKUP($A16,'Intereses corridos'!$A$6:$J$26,9,FALSE)*$Q$13/100</f>
        <v>1.4757461670966812</v>
      </c>
      <c r="E16" s="47">
        <f>+VLOOKUP($A16,'Eleccion de canje'!$C$6:$T$26,6,FALSE)/VLOOKUP($A16,'Eleccion de canje'!$C$6:$T$26,18,FALSE)</f>
        <v>0</v>
      </c>
      <c r="F16" s="183">
        <f t="shared" si="1"/>
        <v>53.72924439746275</v>
      </c>
      <c r="G16" s="47">
        <f>+VLOOKUP($A16,'Eleccion de canje'!$C$6:$T$26,7,FALSE)/VLOOKUP($A16,'Eleccion de canje'!$C$6:$T$26,18,FALSE)</f>
        <v>1</v>
      </c>
      <c r="H16" s="183">
        <f t="shared" si="2"/>
        <v>51.857073594689155</v>
      </c>
      <c r="I16" s="47">
        <f>+VLOOKUP($A16,'Eleccion de canje'!$C$6:$T$26,8,FALSE)/VLOOKUP($A16,'Eleccion de canje'!$C$6:$T$26,18,FALSE)</f>
        <v>0</v>
      </c>
      <c r="J16" s="183">
        <f t="shared" si="3"/>
        <v>59.46928226786499</v>
      </c>
      <c r="K16" s="47">
        <f>+VLOOKUP($A16,'Eleccion de canje'!$C$6:$T$26,9,FALSE)/VLOOKUP($A16,'Eleccion de canje'!$C$6:$T$26,18,FALSE)</f>
        <v>0</v>
      </c>
      <c r="L16" s="183">
        <f t="shared" si="4"/>
        <v>52.488439364001735</v>
      </c>
      <c r="M16" s="47">
        <f>+VLOOKUP($A16,'Eleccion de canje'!$C$6:$T$26,10,FALSE)/VLOOKUP($A16,'Eleccion de canje'!$C$6:$T$26,18,FALSE)</f>
        <v>0</v>
      </c>
      <c r="N16" s="183">
        <f t="shared" si="5"/>
        <v>50.821762672544445</v>
      </c>
      <c r="O16" s="45"/>
      <c r="P16" s="49"/>
      <c r="Q16" s="194"/>
    </row>
    <row r="17" spans="1:17" x14ac:dyDescent="0.2">
      <c r="A17" s="43" t="s">
        <v>53</v>
      </c>
      <c r="B17" s="208">
        <f t="shared" si="0"/>
        <v>54.707337059569277</v>
      </c>
      <c r="C17" s="209">
        <f>+E17*F17+G17*H17+I17*J17+K17*L17+M17*N17+VLOOKUP($A17,'Intereses corridos'!$A$6:$J$26,8,FALSE)*$Q$13/100</f>
        <v>53.177927395487259</v>
      </c>
      <c r="D17" s="209">
        <f>+VLOOKUP($A17,'Intereses corridos'!$A$6:$J$26,9,FALSE)*$Q$13/100</f>
        <v>1.529409664082015</v>
      </c>
      <c r="E17" s="47">
        <f>+VLOOKUP($A17,'Eleccion de canje'!$C$6:$T$26,6,FALSE)/VLOOKUP($A17,'Eleccion de canje'!$C$6:$T$26,18,FALSE)</f>
        <v>0</v>
      </c>
      <c r="F17" s="183">
        <f t="shared" si="1"/>
        <v>53.72924439746275</v>
      </c>
      <c r="G17" s="47">
        <f>+VLOOKUP($A17,'Eleccion de canje'!$C$6:$T$26,7,FALSE)/VLOOKUP($A17,'Eleccion de canje'!$C$6:$T$26,18,FALSE)</f>
        <v>1</v>
      </c>
      <c r="H17" s="183">
        <f t="shared" si="2"/>
        <v>51.857073594689155</v>
      </c>
      <c r="I17" s="47">
        <f>+VLOOKUP($A17,'Eleccion de canje'!$C$6:$T$26,8,FALSE)/VLOOKUP($A17,'Eleccion de canje'!$C$6:$T$26,18,FALSE)</f>
        <v>0</v>
      </c>
      <c r="J17" s="183">
        <f t="shared" si="3"/>
        <v>59.46928226786499</v>
      </c>
      <c r="K17" s="47">
        <f>+VLOOKUP($A17,'Eleccion de canje'!$C$6:$T$26,9,FALSE)/VLOOKUP($A17,'Eleccion de canje'!$C$6:$T$26,18,FALSE)</f>
        <v>0</v>
      </c>
      <c r="L17" s="183">
        <f t="shared" si="4"/>
        <v>52.488439364001735</v>
      </c>
      <c r="M17" s="47">
        <f>+VLOOKUP($A17,'Eleccion de canje'!$C$6:$T$26,10,FALSE)/VLOOKUP($A17,'Eleccion de canje'!$C$6:$T$26,18,FALSE)</f>
        <v>0</v>
      </c>
      <c r="N17" s="183">
        <f t="shared" si="5"/>
        <v>50.821762672544445</v>
      </c>
      <c r="O17" s="45"/>
      <c r="P17" s="49"/>
      <c r="Q17" s="194"/>
    </row>
    <row r="18" spans="1:17" x14ac:dyDescent="0.2">
      <c r="A18" s="43" t="s">
        <v>63</v>
      </c>
      <c r="B18" s="208">
        <f t="shared" si="0"/>
        <v>62.754659123301643</v>
      </c>
      <c r="C18" s="209">
        <f>+E18*F18+G18*H18+I18*J18+K18*L18+M18*N18+VLOOKUP($A18,'Intereses corridos'!$A$6:$J$26,8,FALSE)*$Q$13/100</f>
        <v>60.977324103147389</v>
      </c>
      <c r="D18" s="209">
        <f>+VLOOKUP($A18,'Intereses corridos'!$A$6:$J$26,9,FALSE)*$Q$13/100</f>
        <v>1.7773350201542573</v>
      </c>
      <c r="E18" s="47">
        <f>+VLOOKUP($A18,'Eleccion de canje'!$C$6:$T$26,6,FALSE)/VLOOKUP($A18,'Eleccion de canje'!$C$6:$T$26,18,FALSE)</f>
        <v>0</v>
      </c>
      <c r="F18" s="183">
        <f t="shared" si="1"/>
        <v>53.72924439746275</v>
      </c>
      <c r="G18" s="47">
        <f>+VLOOKUP($A18,'Eleccion de canje'!$C$6:$T$26,7,FALSE)/VLOOKUP($A18,'Eleccion de canje'!$C$6:$T$26,18,FALSE)</f>
        <v>0</v>
      </c>
      <c r="H18" s="183">
        <f t="shared" si="2"/>
        <v>51.857073594689155</v>
      </c>
      <c r="I18" s="47">
        <f>+VLOOKUP($A18,'Eleccion de canje'!$C$6:$T$26,8,FALSE)/VLOOKUP($A18,'Eleccion de canje'!$C$6:$T$26,18,FALSE)</f>
        <v>1</v>
      </c>
      <c r="J18" s="183">
        <f t="shared" si="3"/>
        <v>59.46928226786499</v>
      </c>
      <c r="K18" s="47">
        <f>+VLOOKUP($A18,'Eleccion de canje'!$C$6:$T$26,9,FALSE)/VLOOKUP($A18,'Eleccion de canje'!$C$6:$T$26,18,FALSE)</f>
        <v>0</v>
      </c>
      <c r="L18" s="183">
        <f t="shared" si="4"/>
        <v>52.488439364001735</v>
      </c>
      <c r="M18" s="47">
        <f>+VLOOKUP($A18,'Eleccion de canje'!$C$6:$T$26,10,FALSE)/VLOOKUP($A18,'Eleccion de canje'!$C$6:$T$26,18,FALSE)</f>
        <v>0</v>
      </c>
      <c r="N18" s="183">
        <f t="shared" si="5"/>
        <v>50.821762672544445</v>
      </c>
      <c r="O18" s="45"/>
      <c r="P18" s="49"/>
      <c r="Q18" s="194"/>
    </row>
    <row r="19" spans="1:17" x14ac:dyDescent="0.2">
      <c r="A19" s="51" t="s">
        <v>65</v>
      </c>
      <c r="B19" s="210">
        <f t="shared" si="0"/>
        <v>53.427550561245077</v>
      </c>
      <c r="C19" s="211">
        <f>+E19*F19+G19*H19+I19*J19+K19*L19+M19*N19+VLOOKUP($A19,'Intereses corridos'!$A$6:$J$26,8,FALSE)*$Q$13/100</f>
        <v>52.62259810646507</v>
      </c>
      <c r="D19" s="211">
        <f>+VLOOKUP($A19,'Intereses corridos'!$A$6:$J$26,9,FALSE)*$Q$13/100</f>
        <v>0.80495245478000788</v>
      </c>
      <c r="E19" s="52">
        <f>+VLOOKUP($A19,'Eleccion de canje'!$C$6:$T$26,6,FALSE)/VLOOKUP($A19,'Eleccion de canje'!$C$6:$T$26,18,FALSE)</f>
        <v>0</v>
      </c>
      <c r="F19" s="184">
        <f t="shared" si="1"/>
        <v>53.72924439746275</v>
      </c>
      <c r="G19" s="52">
        <f>+VLOOKUP($A19,'Eleccion de canje'!$C$6:$T$26,7,FALSE)/VLOOKUP($A19,'Eleccion de canje'!$C$6:$T$26,18,FALSE)</f>
        <v>0</v>
      </c>
      <c r="H19" s="184">
        <f t="shared" si="2"/>
        <v>51.857073594689155</v>
      </c>
      <c r="I19" s="52">
        <f>+VLOOKUP($A19,'Eleccion de canje'!$C$6:$T$26,8,FALSE)/VLOOKUP($A19,'Eleccion de canje'!$C$6:$T$26,18,FALSE)</f>
        <v>0</v>
      </c>
      <c r="J19" s="184">
        <f t="shared" si="3"/>
        <v>59.46928226786499</v>
      </c>
      <c r="K19" s="52">
        <f>+VLOOKUP($A19,'Eleccion de canje'!$C$6:$T$26,9,FALSE)/VLOOKUP($A19,'Eleccion de canje'!$C$6:$T$26,18,FALSE)</f>
        <v>1</v>
      </c>
      <c r="L19" s="184">
        <f t="shared" si="4"/>
        <v>52.488439364001735</v>
      </c>
      <c r="M19" s="52">
        <f>+VLOOKUP($A19,'Eleccion de canje'!$C$6:$T$26,10,FALSE)/VLOOKUP($A19,'Eleccion de canje'!$C$6:$T$26,18,FALSE)</f>
        <v>0</v>
      </c>
      <c r="N19" s="184">
        <f t="shared" si="5"/>
        <v>50.821762672544445</v>
      </c>
      <c r="O19" s="45"/>
      <c r="P19" s="49"/>
      <c r="Q19" s="194"/>
    </row>
    <row r="20" spans="1:17" x14ac:dyDescent="0.2">
      <c r="A20" s="18" t="s">
        <v>75</v>
      </c>
      <c r="B20" s="212">
        <f>+AVERAGE(B7:B19)</f>
        <v>55.781867144177077</v>
      </c>
      <c r="C20" s="212">
        <f t="shared" ref="C20" si="6">+AVERAGE(C7:C19)</f>
        <v>54.381992905895039</v>
      </c>
      <c r="D20" s="212">
        <f>+AVERAGE(D7:D19)</f>
        <v>1.3998742382820322</v>
      </c>
      <c r="E20" s="20"/>
      <c r="P20" s="49"/>
      <c r="Q20" s="194"/>
    </row>
    <row r="21" spans="1:17" x14ac:dyDescent="0.2">
      <c r="A21" s="21"/>
      <c r="B21" s="213"/>
      <c r="C21" s="194"/>
      <c r="D21" s="194"/>
      <c r="E21" s="20"/>
      <c r="P21" s="49"/>
      <c r="Q21" s="194"/>
    </row>
    <row r="22" spans="1:17" ht="13.5" customHeight="1" x14ac:dyDescent="0.2">
      <c r="A22" s="289" t="s">
        <v>96</v>
      </c>
      <c r="B22" s="297" t="s">
        <v>72</v>
      </c>
      <c r="C22" s="297"/>
      <c r="D22" s="297"/>
      <c r="E22" s="292" t="s">
        <v>90</v>
      </c>
      <c r="F22" s="293"/>
      <c r="G22" s="293"/>
      <c r="H22" s="293"/>
      <c r="I22" s="293"/>
      <c r="J22" s="293"/>
      <c r="K22" s="293"/>
      <c r="L22" s="293"/>
      <c r="M22" s="293"/>
      <c r="N22" s="294"/>
    </row>
    <row r="23" spans="1:17" s="17" customFormat="1" ht="13.5" customHeight="1" x14ac:dyDescent="0.2">
      <c r="A23" s="290"/>
      <c r="B23" s="298" t="s">
        <v>39</v>
      </c>
      <c r="C23" s="298" t="s">
        <v>97</v>
      </c>
      <c r="D23" s="298" t="s">
        <v>88</v>
      </c>
      <c r="E23" s="295" t="s">
        <v>6</v>
      </c>
      <c r="F23" s="295"/>
      <c r="G23" s="295" t="s">
        <v>7</v>
      </c>
      <c r="H23" s="295"/>
      <c r="I23" s="295" t="s">
        <v>8</v>
      </c>
      <c r="J23" s="295"/>
      <c r="K23" s="295" t="s">
        <v>9</v>
      </c>
      <c r="L23" s="295"/>
      <c r="M23" s="295" t="s">
        <v>10</v>
      </c>
      <c r="N23" s="295"/>
      <c r="Q23" s="196"/>
    </row>
    <row r="24" spans="1:17" s="17" customFormat="1" ht="27" customHeight="1" x14ac:dyDescent="0.2">
      <c r="A24" s="291"/>
      <c r="B24" s="299"/>
      <c r="C24" s="299"/>
      <c r="D24" s="299"/>
      <c r="E24" s="181" t="s">
        <v>91</v>
      </c>
      <c r="F24" s="27" t="s">
        <v>73</v>
      </c>
      <c r="G24" s="27" t="s">
        <v>91</v>
      </c>
      <c r="H24" s="27" t="s">
        <v>73</v>
      </c>
      <c r="I24" s="27" t="s">
        <v>91</v>
      </c>
      <c r="J24" s="27" t="s">
        <v>73</v>
      </c>
      <c r="K24" s="27" t="s">
        <v>91</v>
      </c>
      <c r="L24" s="27" t="s">
        <v>73</v>
      </c>
      <c r="M24" s="27" t="s">
        <v>91</v>
      </c>
      <c r="N24" s="27" t="s">
        <v>73</v>
      </c>
      <c r="P24" s="106" t="s">
        <v>73</v>
      </c>
      <c r="Q24" s="197" t="s">
        <v>74</v>
      </c>
    </row>
    <row r="25" spans="1:17" x14ac:dyDescent="0.2">
      <c r="A25" s="53" t="s">
        <v>57</v>
      </c>
      <c r="B25" s="207">
        <f>+C25+D25</f>
        <v>52.65317947838895</v>
      </c>
      <c r="C25" s="193">
        <f>+E25*F25+G25*H25+I25*J25+K25*L25+M25*N25+VLOOKUP($A25,'Intereses corridos'!$A$6:$J$26,8,FALSE)*$Q$31/100</f>
        <v>51.854905693476233</v>
      </c>
      <c r="D25" s="193">
        <f>+VLOOKUP($A25,'Intereses corridos'!$A$6:$J$26,9,FALSE)*$Q$31/100</f>
        <v>0.79827378491271972</v>
      </c>
      <c r="E25" s="44">
        <f>+VLOOKUP($A25,'Eleccion de canje'!$C$6:$T$26,11,FALSE)/VLOOKUP($A25,'Eleccion de canje'!$C$6:$T$26,18,FALSE)</f>
        <v>1</v>
      </c>
      <c r="F25" s="193">
        <f>+$Q$25</f>
        <v>51.268295412138855</v>
      </c>
      <c r="G25" s="190">
        <f>+VLOOKUP($A25,'Eleccion de canje'!$C$6:$T$26,12,FALSE)/VLOOKUP($A25,'Eleccion de canje'!$C$6:$T$26,18,FALSE)</f>
        <v>0</v>
      </c>
      <c r="H25" s="193">
        <f>+$Q$26</f>
        <v>47.831028865334524</v>
      </c>
      <c r="I25" s="190">
        <f>+VLOOKUP($A25,'Eleccion de canje'!$C$6:$T$26,13,FALSE)/VLOOKUP($A25,'Eleccion de canje'!$C$6:$T$26,18,FALSE)</f>
        <v>0</v>
      </c>
      <c r="J25" s="193">
        <f>+$Q$27</f>
        <v>55.214736390334153</v>
      </c>
      <c r="K25" s="190">
        <f>+VLOOKUP($A25,'Eleccion de canje'!$C$6:$T$26,14,FALSE)/VLOOKUP($A25,'Eleccion de canje'!$C$6:$T$26,18,FALSE)</f>
        <v>0</v>
      </c>
      <c r="L25" s="193">
        <f>+$Q$28</f>
        <v>48.774168501138483</v>
      </c>
      <c r="M25" s="190">
        <f>+VLOOKUP($A25,'Eleccion de canje'!$C$6:$T$26,15,FALSE)/VLOOKUP($A25,'Eleccion de canje'!$C$6:$T$26,18,FALSE)</f>
        <v>0</v>
      </c>
      <c r="N25" s="193">
        <f>+$Q$29</f>
        <v>47.065980455066168</v>
      </c>
      <c r="O25" s="45"/>
      <c r="P25" s="46" t="s">
        <v>6</v>
      </c>
      <c r="Q25" s="198">
        <f>+HLOOKUP(P25,'Nuevos Bonos'!$B$6:$M$17,12,FALSE)</f>
        <v>51.268295412138855</v>
      </c>
    </row>
    <row r="26" spans="1:17" x14ac:dyDescent="0.2">
      <c r="A26" s="53" t="s">
        <v>56</v>
      </c>
      <c r="B26" s="208">
        <f t="shared" ref="B26:B32" si="7">+C26+D26</f>
        <v>52.474484760163136</v>
      </c>
      <c r="C26" s="209">
        <f>+E26*F26+G26*H26+I26*J26+K26*L26+M26*N26+VLOOKUP($A26,'Intereses corridos'!$A$6:$J$26,8,FALSE)*$Q$31/100</f>
        <v>51.779214044271413</v>
      </c>
      <c r="D26" s="209">
        <f>+VLOOKUP($A26,'Intereses corridos'!$A$6:$J$26,9,FALSE)*$Q$31/100</f>
        <v>0.69527071589172385</v>
      </c>
      <c r="E26" s="47">
        <f>+VLOOKUP($A26,'Eleccion de canje'!$C$6:$T$26,11,FALSE)/VLOOKUP($A26,'Eleccion de canje'!$C$6:$T$26,18,FALSE)</f>
        <v>1</v>
      </c>
      <c r="F26" s="201">
        <f t="shared" ref="F26:F32" si="8">+$Q$25</f>
        <v>51.268295412138855</v>
      </c>
      <c r="G26" s="191">
        <f>+VLOOKUP($A26,'Eleccion de canje'!$C$6:$T$26,12,FALSE)/VLOOKUP($A26,'Eleccion de canje'!$C$6:$T$26,18,FALSE)</f>
        <v>0</v>
      </c>
      <c r="H26" s="201">
        <f t="shared" ref="H26:H32" si="9">+$Q$26</f>
        <v>47.831028865334524</v>
      </c>
      <c r="I26" s="191">
        <f>+VLOOKUP($A26,'Eleccion de canje'!$C$6:$T$26,13,FALSE)/VLOOKUP($A26,'Eleccion de canje'!$C$6:$T$26,18,FALSE)</f>
        <v>0</v>
      </c>
      <c r="J26" s="201">
        <f t="shared" ref="J26:J32" si="10">+$Q$27</f>
        <v>55.214736390334153</v>
      </c>
      <c r="K26" s="191">
        <f>+VLOOKUP($A26,'Eleccion de canje'!$C$6:$T$26,14,FALSE)/VLOOKUP($A26,'Eleccion de canje'!$C$6:$T$26,18,FALSE)</f>
        <v>0</v>
      </c>
      <c r="L26" s="201">
        <f t="shared" ref="L26:L32" si="11">+$Q$28</f>
        <v>48.774168501138483</v>
      </c>
      <c r="M26" s="191">
        <f>+VLOOKUP($A26,'Eleccion de canje'!$C$6:$T$26,15,FALSE)/VLOOKUP($A26,'Eleccion de canje'!$C$6:$T$26,18,FALSE)</f>
        <v>0</v>
      </c>
      <c r="N26" s="201">
        <f t="shared" ref="N26:N32" si="12">+$Q$29</f>
        <v>47.065980455066168</v>
      </c>
      <c r="O26" s="45"/>
      <c r="P26" s="46" t="s">
        <v>7</v>
      </c>
      <c r="Q26" s="198">
        <f>+HLOOKUP(P26,'Nuevos Bonos'!$B$6:$M$17,12,FALSE)</f>
        <v>47.831028865334524</v>
      </c>
    </row>
    <row r="27" spans="1:17" x14ac:dyDescent="0.2">
      <c r="A27" s="53" t="s">
        <v>58</v>
      </c>
      <c r="B27" s="208">
        <f t="shared" si="7"/>
        <v>50.496776762445748</v>
      </c>
      <c r="C27" s="209">
        <f>+E27*F27+G27*H27+I27*J27+K27*L27+M27*N27+VLOOKUP($A27,'Intereses corridos'!$A$6:$J$26,8,FALSE)*$Q$31/100</f>
        <v>49.466746072235786</v>
      </c>
      <c r="D27" s="209">
        <f>+VLOOKUP($A27,'Intereses corridos'!$A$6:$J$26,9,FALSE)*$Q$31/100</f>
        <v>1.030030690209961</v>
      </c>
      <c r="E27" s="47">
        <f>+VLOOKUP($A27,'Eleccion de canje'!$C$6:$T$26,11,FALSE)/VLOOKUP($A27,'Eleccion de canje'!$C$6:$T$26,18,FALSE)</f>
        <v>0.2556684804296212</v>
      </c>
      <c r="F27" s="201">
        <f t="shared" si="8"/>
        <v>51.268295412138855</v>
      </c>
      <c r="G27" s="191">
        <f>+VLOOKUP($A27,'Eleccion de canje'!$C$6:$T$26,12,FALSE)/VLOOKUP($A27,'Eleccion de canje'!$C$6:$T$26,18,FALSE)</f>
        <v>0.7443315195703788</v>
      </c>
      <c r="H27" s="201">
        <f t="shared" si="9"/>
        <v>47.831028865334524</v>
      </c>
      <c r="I27" s="191">
        <f>+VLOOKUP($A27,'Eleccion de canje'!$C$6:$T$26,13,FALSE)/VLOOKUP($A27,'Eleccion de canje'!$C$6:$T$26,18,FALSE)</f>
        <v>0</v>
      </c>
      <c r="J27" s="201">
        <f t="shared" si="10"/>
        <v>55.214736390334153</v>
      </c>
      <c r="K27" s="191">
        <f>+VLOOKUP($A27,'Eleccion de canje'!$C$6:$T$26,14,FALSE)/VLOOKUP($A27,'Eleccion de canje'!$C$6:$T$26,18,FALSE)</f>
        <v>0</v>
      </c>
      <c r="L27" s="201">
        <f t="shared" si="11"/>
        <v>48.774168501138483</v>
      </c>
      <c r="M27" s="191">
        <f>+VLOOKUP($A27,'Eleccion de canje'!$C$6:$T$26,15,FALSE)/VLOOKUP($A27,'Eleccion de canje'!$C$6:$T$26,18,FALSE)</f>
        <v>0</v>
      </c>
      <c r="N27" s="201">
        <f t="shared" si="12"/>
        <v>47.065980455066168</v>
      </c>
      <c r="O27" s="45"/>
      <c r="P27" s="46" t="s">
        <v>8</v>
      </c>
      <c r="Q27" s="198">
        <f>+HLOOKUP(P27,'Nuevos Bonos'!$B$6:$M$17,12,FALSE)</f>
        <v>55.214736390334153</v>
      </c>
    </row>
    <row r="28" spans="1:17" x14ac:dyDescent="0.2">
      <c r="A28" s="53" t="s">
        <v>59</v>
      </c>
      <c r="B28" s="208">
        <f t="shared" si="7"/>
        <v>50.586124121558662</v>
      </c>
      <c r="C28" s="209">
        <f>+E28*F28+G28*H28+I28*J28+K28*L28+M28*N28+VLOOKUP($A28,'Intereses corridos'!$A$6:$J$26,8,FALSE)*$Q$31/100</f>
        <v>49.5045918968382</v>
      </c>
      <c r="D28" s="209">
        <f>+VLOOKUP($A28,'Intereses corridos'!$A$6:$J$26,9,FALSE)*$Q$31/100</f>
        <v>1.0815322247204591</v>
      </c>
      <c r="E28" s="47">
        <f>+VLOOKUP($A28,'Eleccion de canje'!$C$6:$T$26,11,FALSE)/VLOOKUP($A28,'Eleccion de canje'!$C$6:$T$26,18,FALSE)</f>
        <v>0.25566848042962126</v>
      </c>
      <c r="F28" s="201">
        <f t="shared" si="8"/>
        <v>51.268295412138855</v>
      </c>
      <c r="G28" s="191">
        <f>+VLOOKUP($A28,'Eleccion de canje'!$C$6:$T$26,12,FALSE)/VLOOKUP($A28,'Eleccion de canje'!$C$6:$T$26,18,FALSE)</f>
        <v>0.74433151957037869</v>
      </c>
      <c r="H28" s="201">
        <f t="shared" si="9"/>
        <v>47.831028865334524</v>
      </c>
      <c r="I28" s="191">
        <f>+VLOOKUP($A28,'Eleccion de canje'!$C$6:$T$26,13,FALSE)/VLOOKUP($A28,'Eleccion de canje'!$C$6:$T$26,18,FALSE)</f>
        <v>0</v>
      </c>
      <c r="J28" s="201">
        <f t="shared" si="10"/>
        <v>55.214736390334153</v>
      </c>
      <c r="K28" s="191">
        <f>+VLOOKUP($A28,'Eleccion de canje'!$C$6:$T$26,14,FALSE)/VLOOKUP($A28,'Eleccion de canje'!$C$6:$T$26,18,FALSE)</f>
        <v>0</v>
      </c>
      <c r="L28" s="201">
        <f t="shared" si="11"/>
        <v>48.774168501138483</v>
      </c>
      <c r="M28" s="191">
        <f>+VLOOKUP($A28,'Eleccion de canje'!$C$6:$T$26,15,FALSE)/VLOOKUP($A28,'Eleccion de canje'!$C$6:$T$26,18,FALSE)</f>
        <v>0</v>
      </c>
      <c r="N28" s="201">
        <f t="shared" si="12"/>
        <v>47.065980455066168</v>
      </c>
      <c r="O28" s="45"/>
      <c r="P28" s="46" t="s">
        <v>9</v>
      </c>
      <c r="Q28" s="198">
        <f>+HLOOKUP(P28,'Nuevos Bonos'!$B$6:$M$17,12,FALSE)</f>
        <v>48.774168501138483</v>
      </c>
    </row>
    <row r="29" spans="1:17" x14ac:dyDescent="0.2">
      <c r="A29" s="53" t="s">
        <v>60</v>
      </c>
      <c r="B29" s="208">
        <f t="shared" si="7"/>
        <v>50.70848202453849</v>
      </c>
      <c r="C29" s="209">
        <f>+E29*F29+G29*H29+I29*J29+K29*L29+M29*N29+VLOOKUP($A29,'Intereses corridos'!$A$6:$J$26,8,FALSE)*$Q$31/100</f>
        <v>49.420943661776036</v>
      </c>
      <c r="D29" s="209">
        <f>+VLOOKUP($A29,'Intereses corridos'!$A$6:$J$26,9,FALSE)*$Q$31/100</f>
        <v>1.287538362762451</v>
      </c>
      <c r="E29" s="47">
        <f>+VLOOKUP($A29,'Eleccion de canje'!$C$6:$T$26,11,FALSE)/VLOOKUP($A29,'Eleccion de canje'!$C$6:$T$26,18,FALSE)</f>
        <v>0</v>
      </c>
      <c r="F29" s="201">
        <f t="shared" si="8"/>
        <v>51.268295412138855</v>
      </c>
      <c r="G29" s="191">
        <f>+VLOOKUP($A29,'Eleccion de canje'!$C$6:$T$26,12,FALSE)/VLOOKUP($A29,'Eleccion de canje'!$C$6:$T$26,18,FALSE)</f>
        <v>1</v>
      </c>
      <c r="H29" s="201">
        <f t="shared" si="9"/>
        <v>47.831028865334524</v>
      </c>
      <c r="I29" s="191">
        <f>+VLOOKUP($A29,'Eleccion de canje'!$C$6:$T$26,13,FALSE)/VLOOKUP($A29,'Eleccion de canje'!$C$6:$T$26,18,FALSE)</f>
        <v>0</v>
      </c>
      <c r="J29" s="201">
        <f t="shared" si="10"/>
        <v>55.214736390334153</v>
      </c>
      <c r="K29" s="191">
        <f>+VLOOKUP($A29,'Eleccion de canje'!$C$6:$T$26,14,FALSE)/VLOOKUP($A29,'Eleccion de canje'!$C$6:$T$26,18,FALSE)</f>
        <v>0</v>
      </c>
      <c r="L29" s="201">
        <f t="shared" si="11"/>
        <v>48.774168501138483</v>
      </c>
      <c r="M29" s="191">
        <f>+VLOOKUP($A29,'Eleccion de canje'!$C$6:$T$26,15,FALSE)/VLOOKUP($A29,'Eleccion de canje'!$C$6:$T$26,18,FALSE)</f>
        <v>0</v>
      </c>
      <c r="N29" s="201">
        <f t="shared" si="12"/>
        <v>47.065980455066168</v>
      </c>
      <c r="O29" s="45"/>
      <c r="P29" s="48" t="s">
        <v>10</v>
      </c>
      <c r="Q29" s="199">
        <f>+HLOOKUP(P29,'Nuevos Bonos'!$B$6:$M$17,12,FALSE)</f>
        <v>47.065980455066168</v>
      </c>
    </row>
    <row r="30" spans="1:17" x14ac:dyDescent="0.2">
      <c r="A30" s="53" t="s">
        <v>61</v>
      </c>
      <c r="B30" s="208">
        <f t="shared" si="7"/>
        <v>52.839769866478925</v>
      </c>
      <c r="C30" s="209">
        <f>+E30*F30+G30*H30+I30*J30+K30*L30+M30*N30+VLOOKUP($A30,'Intereses corridos'!$A$6:$J$26,8,FALSE)*$Q$31/100*'Eleccion de canje'!T2/'Eleccion de canje'!T3</f>
        <v>52.19556294730846</v>
      </c>
      <c r="D30" s="209">
        <f>+VLOOKUP($A30,'Intereses corridos'!$A$6:$J$26,9,FALSE)*$Q$31/100*'Eleccion de canje'!T2/'Eleccion de canje'!T3</f>
        <v>0.6442069191704618</v>
      </c>
      <c r="E30" s="47">
        <f>+VLOOKUP($A30,'Eleccion de canje'!$C$6:$T$26,11,FALSE)/VLOOKUP($A30,'Eleccion de canje'!$C$6:$T$26,18,FALSE)</f>
        <v>1</v>
      </c>
      <c r="F30" s="201">
        <f t="shared" si="8"/>
        <v>51.268295412138855</v>
      </c>
      <c r="G30" s="191">
        <f>+VLOOKUP($A30,'Eleccion de canje'!$C$6:$T$26,12,FALSE)/VLOOKUP($A30,'Eleccion de canje'!$C$6:$T$26,18,FALSE)</f>
        <v>0</v>
      </c>
      <c r="H30" s="201">
        <f t="shared" si="9"/>
        <v>47.831028865334524</v>
      </c>
      <c r="I30" s="191">
        <f>+VLOOKUP($A30,'Eleccion de canje'!$C$6:$T$26,13,FALSE)/VLOOKUP($A30,'Eleccion de canje'!$C$6:$T$26,18,FALSE)</f>
        <v>0</v>
      </c>
      <c r="J30" s="201">
        <f t="shared" si="10"/>
        <v>55.214736390334153</v>
      </c>
      <c r="K30" s="191">
        <f>+VLOOKUP($A30,'Eleccion de canje'!$C$6:$T$26,14,FALSE)/VLOOKUP($A30,'Eleccion de canje'!$C$6:$T$26,18,FALSE)</f>
        <v>0</v>
      </c>
      <c r="L30" s="201">
        <f t="shared" si="11"/>
        <v>48.774168501138483</v>
      </c>
      <c r="M30" s="191">
        <f>+VLOOKUP($A30,'Eleccion de canje'!$C$6:$T$26,15,FALSE)/VLOOKUP($A30,'Eleccion de canje'!$C$6:$T$26,18,FALSE)</f>
        <v>0</v>
      </c>
      <c r="N30" s="201">
        <f t="shared" si="12"/>
        <v>47.065980455066168</v>
      </c>
      <c r="O30" s="45"/>
    </row>
    <row r="31" spans="1:17" x14ac:dyDescent="0.2">
      <c r="A31" s="53" t="s">
        <v>62</v>
      </c>
      <c r="B31" s="208">
        <f t="shared" si="7"/>
        <v>58.192586328782369</v>
      </c>
      <c r="C31" s="209">
        <f>+E31*F31+G31*H31+I31*J31+K31*L31+M31*N31+VLOOKUP($A31,'Intereses corridos'!$A$6:$J$26,8,FALSE)*$Q$31/100</f>
        <v>56.581618329293988</v>
      </c>
      <c r="D31" s="209">
        <f>+VLOOKUP($A31,'Intereses corridos'!$A$6:$J$26,9,FALSE)*$Q$31/100</f>
        <v>1.6109679994883788</v>
      </c>
      <c r="E31" s="47">
        <f>+VLOOKUP($A31,'Eleccion de canje'!$C$6:$T$26,11,FALSE)/VLOOKUP($A31,'Eleccion de canje'!$C$6:$T$26,18,FALSE)</f>
        <v>0</v>
      </c>
      <c r="F31" s="201">
        <f t="shared" si="8"/>
        <v>51.268295412138855</v>
      </c>
      <c r="G31" s="191">
        <f>+VLOOKUP($A31,'Eleccion de canje'!$C$6:$T$26,12,FALSE)/VLOOKUP($A31,'Eleccion de canje'!$C$6:$T$26,18,FALSE)</f>
        <v>0</v>
      </c>
      <c r="H31" s="201">
        <f t="shared" si="9"/>
        <v>47.831028865334524</v>
      </c>
      <c r="I31" s="191">
        <f>+VLOOKUP($A31,'Eleccion de canje'!$C$6:$T$26,13,FALSE)/VLOOKUP($A31,'Eleccion de canje'!$C$6:$T$26,18,FALSE)</f>
        <v>1</v>
      </c>
      <c r="J31" s="201">
        <f t="shared" si="10"/>
        <v>55.214736390334153</v>
      </c>
      <c r="K31" s="191">
        <f>+VLOOKUP($A31,'Eleccion de canje'!$C$6:$T$26,14,FALSE)/VLOOKUP($A31,'Eleccion de canje'!$C$6:$T$26,18,FALSE)</f>
        <v>0</v>
      </c>
      <c r="L31" s="201">
        <f t="shared" si="11"/>
        <v>48.774168501138483</v>
      </c>
      <c r="M31" s="191">
        <f>+VLOOKUP($A31,'Eleccion de canje'!$C$6:$T$26,15,FALSE)/VLOOKUP($A31,'Eleccion de canje'!$C$6:$T$26,18,FALSE)</f>
        <v>0</v>
      </c>
      <c r="N31" s="201">
        <f t="shared" si="12"/>
        <v>47.065980455066168</v>
      </c>
      <c r="O31" s="45"/>
      <c r="P31" s="42" t="s">
        <v>99</v>
      </c>
      <c r="Q31" s="200">
        <f>+HLOOKUP(P31,'Nuevos Bonos'!$B$6:$M$17,12,FALSE)</f>
        <v>56.183492193270595</v>
      </c>
    </row>
    <row r="32" spans="1:17" x14ac:dyDescent="0.2">
      <c r="A32" s="54" t="s">
        <v>64</v>
      </c>
      <c r="B32" s="210">
        <f t="shared" si="7"/>
        <v>49.58651937215074</v>
      </c>
      <c r="C32" s="211">
        <f>+E32*F32+G32*H32+I32*J32+K32*L32+M32*N32+VLOOKUP($A32,'Intereses corridos'!$A$6:$J$26,8,FALSE)*$Q$31/100</f>
        <v>48.890218625568806</v>
      </c>
      <c r="D32" s="211">
        <f>+VLOOKUP($A32,'Intereses corridos'!$A$6:$J$26,9,FALSE)*$Q$31/100</f>
        <v>0.69630074658193353</v>
      </c>
      <c r="E32" s="52">
        <f>+VLOOKUP($A32,'Eleccion de canje'!$C$6:$T$26,11,FALSE)/VLOOKUP($A32,'Eleccion de canje'!$C$6:$T$26,18,FALSE)</f>
        <v>0</v>
      </c>
      <c r="F32" s="202">
        <f t="shared" si="8"/>
        <v>51.268295412138855</v>
      </c>
      <c r="G32" s="192">
        <f>+VLOOKUP($A32,'Eleccion de canje'!$C$6:$T$26,12,FALSE)/VLOOKUP($A32,'Eleccion de canje'!$C$6:$T$26,18,FALSE)</f>
        <v>0</v>
      </c>
      <c r="H32" s="202">
        <f t="shared" si="9"/>
        <v>47.831028865334524</v>
      </c>
      <c r="I32" s="192">
        <f>+VLOOKUP($A32,'Eleccion de canje'!$C$6:$T$26,13,FALSE)/VLOOKUP($A32,'Eleccion de canje'!$C$6:$T$26,18,FALSE)</f>
        <v>0</v>
      </c>
      <c r="J32" s="202">
        <f t="shared" si="10"/>
        <v>55.214736390334153</v>
      </c>
      <c r="K32" s="192">
        <f>+VLOOKUP($A32,'Eleccion de canje'!$C$6:$T$26,14,FALSE)/VLOOKUP($A32,'Eleccion de canje'!$C$6:$T$26,18,FALSE)</f>
        <v>1</v>
      </c>
      <c r="L32" s="202">
        <f t="shared" si="11"/>
        <v>48.774168501138483</v>
      </c>
      <c r="M32" s="192">
        <f>+VLOOKUP($A32,'Eleccion de canje'!$C$6:$T$26,15,FALSE)/VLOOKUP($A32,'Eleccion de canje'!$C$6:$T$26,18,FALSE)</f>
        <v>0</v>
      </c>
      <c r="N32" s="202">
        <f t="shared" si="12"/>
        <v>47.065980455066168</v>
      </c>
      <c r="O32" s="45"/>
    </row>
    <row r="33" spans="1:5" x14ac:dyDescent="0.2">
      <c r="A33" s="18" t="s">
        <v>75</v>
      </c>
      <c r="B33" s="212">
        <f>+AVERAGE(B25:B32)</f>
        <v>52.192240339313386</v>
      </c>
      <c r="C33" s="212">
        <f t="shared" ref="C33:D33" si="13">+AVERAGE(C25:C32)</f>
        <v>51.211725158846122</v>
      </c>
      <c r="D33" s="212">
        <f t="shared" si="13"/>
        <v>0.98051518046726116</v>
      </c>
      <c r="E33" s="20"/>
    </row>
    <row r="35" spans="1:5" x14ac:dyDescent="0.2">
      <c r="A35" s="2" t="s">
        <v>71</v>
      </c>
    </row>
  </sheetData>
  <mergeCells count="22">
    <mergeCell ref="I23:J23"/>
    <mergeCell ref="B23:B24"/>
    <mergeCell ref="C23:C24"/>
    <mergeCell ref="D23:D24"/>
    <mergeCell ref="E23:F23"/>
    <mergeCell ref="G23:H23"/>
    <mergeCell ref="B5:B6"/>
    <mergeCell ref="A4:A6"/>
    <mergeCell ref="E22:N22"/>
    <mergeCell ref="E5:F5"/>
    <mergeCell ref="G5:H5"/>
    <mergeCell ref="I5:J5"/>
    <mergeCell ref="K5:L5"/>
    <mergeCell ref="E4:N4"/>
    <mergeCell ref="M5:N5"/>
    <mergeCell ref="B4:D4"/>
    <mergeCell ref="B22:D22"/>
    <mergeCell ref="A22:A24"/>
    <mergeCell ref="D5:D6"/>
    <mergeCell ref="C5:C6"/>
    <mergeCell ref="K23:L23"/>
    <mergeCell ref="M23:N23"/>
  </mergeCells>
  <conditionalFormatting sqref="A7:A1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:A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ignoredErrors>
    <ignoredError sqref="G7:G19 I7:I20 K8:K19 G26:G32 K7 M7 M8:M19 G25 I25 K25 M25 I26:I32 K26:K32 M26:M32 C30:D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D52C-EAAE-4272-A2A1-272781C8542B}">
  <sheetPr>
    <tabColor rgb="FF345AA6"/>
  </sheetPr>
  <dimension ref="A1:D336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13" bestFit="1" customWidth="1"/>
    <col min="2" max="4" width="15.42578125" customWidth="1"/>
    <col min="8" max="26" width="11.42578125" customWidth="1"/>
  </cols>
  <sheetData>
    <row r="1" spans="1:4" ht="15.75" x14ac:dyDescent="0.25">
      <c r="A1" s="19" t="s">
        <v>135</v>
      </c>
      <c r="B1" s="11"/>
      <c r="C1" s="11"/>
      <c r="D1" s="11"/>
    </row>
    <row r="2" spans="1:4" x14ac:dyDescent="0.25">
      <c r="A2" s="39" t="s">
        <v>133</v>
      </c>
      <c r="B2" s="11"/>
      <c r="C2" s="11"/>
      <c r="D2" s="11"/>
    </row>
    <row r="3" spans="1:4" x14ac:dyDescent="0.25">
      <c r="A3" s="38"/>
      <c r="B3" s="11"/>
      <c r="C3" s="11"/>
      <c r="D3" s="11"/>
    </row>
    <row r="4" spans="1:4" ht="23.25" customHeight="1" x14ac:dyDescent="0.25">
      <c r="A4" s="301" t="s">
        <v>82</v>
      </c>
      <c r="B4" s="300" t="s">
        <v>83</v>
      </c>
      <c r="C4" s="300"/>
      <c r="D4" s="300"/>
    </row>
    <row r="5" spans="1:4" ht="23.25" customHeight="1" x14ac:dyDescent="0.25">
      <c r="A5" s="301"/>
      <c r="B5" s="271" t="s">
        <v>127</v>
      </c>
      <c r="C5" s="271" t="s">
        <v>134</v>
      </c>
      <c r="D5" s="271" t="s">
        <v>132</v>
      </c>
    </row>
    <row r="6" spans="1:4" ht="12.75" customHeight="1" x14ac:dyDescent="0.25">
      <c r="A6" s="274">
        <v>43966</v>
      </c>
      <c r="B6" s="277">
        <v>6.521538461538462E-2</v>
      </c>
      <c r="C6" s="275">
        <v>0</v>
      </c>
      <c r="D6" s="276">
        <v>0</v>
      </c>
    </row>
    <row r="7" spans="1:4" x14ac:dyDescent="0.25">
      <c r="A7" s="272">
        <v>43997</v>
      </c>
      <c r="B7" s="278">
        <v>6.521538461538462E-2</v>
      </c>
      <c r="C7" s="40">
        <v>0</v>
      </c>
      <c r="D7" s="269">
        <v>0</v>
      </c>
    </row>
    <row r="8" spans="1:4" x14ac:dyDescent="0.25">
      <c r="A8" s="272">
        <v>44027</v>
      </c>
      <c r="B8" s="278">
        <v>6.521538461538462E-2</v>
      </c>
      <c r="C8" s="40">
        <v>0</v>
      </c>
      <c r="D8" s="269">
        <v>0</v>
      </c>
    </row>
    <row r="9" spans="1:4" x14ac:dyDescent="0.25">
      <c r="A9" s="272">
        <v>44058</v>
      </c>
      <c r="B9" s="278">
        <v>6.521538461538462E-2</v>
      </c>
      <c r="C9" s="40">
        <v>0</v>
      </c>
      <c r="D9" s="269">
        <v>0</v>
      </c>
    </row>
    <row r="10" spans="1:4" x14ac:dyDescent="0.25">
      <c r="A10" s="272">
        <v>44089</v>
      </c>
      <c r="B10" s="278">
        <v>6.521538461538462E-2</v>
      </c>
      <c r="C10" s="40">
        <v>0</v>
      </c>
      <c r="D10" s="269">
        <v>0</v>
      </c>
    </row>
    <row r="11" spans="1:4" x14ac:dyDescent="0.25">
      <c r="A11" s="272">
        <v>44119</v>
      </c>
      <c r="B11" s="278">
        <v>6.521538461538462E-2</v>
      </c>
      <c r="C11" s="40">
        <v>0</v>
      </c>
      <c r="D11" s="269">
        <v>0</v>
      </c>
    </row>
    <row r="12" spans="1:4" x14ac:dyDescent="0.25">
      <c r="A12" s="272">
        <v>44150</v>
      </c>
      <c r="B12" s="278">
        <v>6.521538461538462E-2</v>
      </c>
      <c r="C12" s="40">
        <v>0</v>
      </c>
      <c r="D12" s="269">
        <v>0</v>
      </c>
    </row>
    <row r="13" spans="1:4" x14ac:dyDescent="0.25">
      <c r="A13" s="272">
        <v>44180</v>
      </c>
      <c r="B13" s="278">
        <v>6.521538461538462E-2</v>
      </c>
      <c r="C13" s="40">
        <v>0</v>
      </c>
      <c r="D13" s="269">
        <v>0</v>
      </c>
    </row>
    <row r="14" spans="1:4" x14ac:dyDescent="0.25">
      <c r="A14" s="272">
        <v>44211</v>
      </c>
      <c r="B14" s="278">
        <v>6.521538461538462E-2</v>
      </c>
      <c r="C14" s="40">
        <v>0</v>
      </c>
      <c r="D14" s="269">
        <v>0</v>
      </c>
    </row>
    <row r="15" spans="1:4" x14ac:dyDescent="0.25">
      <c r="A15" s="272">
        <v>44242</v>
      </c>
      <c r="B15" s="278">
        <v>6.521538461538462E-2</v>
      </c>
      <c r="C15" s="40">
        <v>0</v>
      </c>
      <c r="D15" s="269">
        <v>0</v>
      </c>
    </row>
    <row r="16" spans="1:4" x14ac:dyDescent="0.25">
      <c r="A16" s="272">
        <v>44270</v>
      </c>
      <c r="B16" s="278">
        <v>6.521538461538462E-2</v>
      </c>
      <c r="C16" s="40">
        <v>0</v>
      </c>
      <c r="D16" s="269">
        <v>0</v>
      </c>
    </row>
    <row r="17" spans="1:4" x14ac:dyDescent="0.25">
      <c r="A17" s="272">
        <v>44301</v>
      </c>
      <c r="B17" s="278">
        <v>6.521538461538462E-2</v>
      </c>
      <c r="C17" s="40">
        <v>0</v>
      </c>
      <c r="D17" s="269">
        <v>0</v>
      </c>
    </row>
    <row r="18" spans="1:4" x14ac:dyDescent="0.25">
      <c r="A18" s="272">
        <v>44331</v>
      </c>
      <c r="B18" s="278">
        <v>6.492083333333333E-2</v>
      </c>
      <c r="C18" s="40">
        <v>0</v>
      </c>
      <c r="D18" s="269">
        <v>0</v>
      </c>
    </row>
    <row r="19" spans="1:4" x14ac:dyDescent="0.25">
      <c r="A19" s="272">
        <v>44362</v>
      </c>
      <c r="B19" s="278">
        <v>6.492083333333333E-2</v>
      </c>
      <c r="C19" s="40">
        <v>0</v>
      </c>
      <c r="D19" s="269">
        <v>0</v>
      </c>
    </row>
    <row r="20" spans="1:4" x14ac:dyDescent="0.25">
      <c r="A20" s="272">
        <v>44392</v>
      </c>
      <c r="B20" s="278">
        <v>6.492083333333333E-2</v>
      </c>
      <c r="C20" s="40">
        <v>0</v>
      </c>
      <c r="D20" s="269">
        <v>2.5000000000000001E-3</v>
      </c>
    </row>
    <row r="21" spans="1:4" x14ac:dyDescent="0.25">
      <c r="A21" s="272">
        <v>44423</v>
      </c>
      <c r="B21" s="278">
        <v>6.492083333333333E-2</v>
      </c>
      <c r="C21" s="40">
        <v>0</v>
      </c>
      <c r="D21" s="269">
        <v>2.5000000000000001E-3</v>
      </c>
    </row>
    <row r="22" spans="1:4" x14ac:dyDescent="0.25">
      <c r="A22" s="272">
        <v>44454</v>
      </c>
      <c r="B22" s="278">
        <v>6.492083333333333E-2</v>
      </c>
      <c r="C22" s="40">
        <v>0</v>
      </c>
      <c r="D22" s="269">
        <v>2.5000000000000001E-3</v>
      </c>
    </row>
    <row r="23" spans="1:4" x14ac:dyDescent="0.25">
      <c r="A23" s="272">
        <v>44484</v>
      </c>
      <c r="B23" s="278">
        <v>6.492083333333333E-2</v>
      </c>
      <c r="C23" s="40">
        <v>0</v>
      </c>
      <c r="D23" s="269">
        <v>2.5000000000000001E-3</v>
      </c>
    </row>
    <row r="24" spans="1:4" x14ac:dyDescent="0.25">
      <c r="A24" s="272">
        <v>44515</v>
      </c>
      <c r="B24" s="278">
        <v>6.492083333333333E-2</v>
      </c>
      <c r="C24" s="40">
        <v>0</v>
      </c>
      <c r="D24" s="269">
        <v>2.5000000000000001E-3</v>
      </c>
    </row>
    <row r="25" spans="1:4" x14ac:dyDescent="0.25">
      <c r="A25" s="272">
        <v>44545</v>
      </c>
      <c r="B25" s="278">
        <v>6.492083333333333E-2</v>
      </c>
      <c r="C25" s="40">
        <v>0</v>
      </c>
      <c r="D25" s="269">
        <v>2.5000000000000001E-3</v>
      </c>
    </row>
    <row r="26" spans="1:4" x14ac:dyDescent="0.25">
      <c r="A26" s="272">
        <v>44576</v>
      </c>
      <c r="B26" s="278">
        <v>6.492083333333333E-2</v>
      </c>
      <c r="C26" s="40">
        <v>0</v>
      </c>
      <c r="D26" s="269">
        <v>1.4500000000000002E-2</v>
      </c>
    </row>
    <row r="27" spans="1:4" x14ac:dyDescent="0.25">
      <c r="A27" s="272">
        <v>44607</v>
      </c>
      <c r="B27" s="278">
        <v>6.5709090909090911E-2</v>
      </c>
      <c r="C27" s="40">
        <v>0</v>
      </c>
      <c r="D27" s="269">
        <v>1.4500000000000002E-2</v>
      </c>
    </row>
    <row r="28" spans="1:4" x14ac:dyDescent="0.25">
      <c r="A28" s="272">
        <v>44635</v>
      </c>
      <c r="B28" s="278">
        <v>6.5709090909090911E-2</v>
      </c>
      <c r="C28" s="40">
        <v>0</v>
      </c>
      <c r="D28" s="269">
        <v>1.4500000000000002E-2</v>
      </c>
    </row>
    <row r="29" spans="1:4" x14ac:dyDescent="0.25">
      <c r="A29" s="272">
        <v>44666</v>
      </c>
      <c r="B29" s="278">
        <v>6.5709090909090911E-2</v>
      </c>
      <c r="C29" s="40">
        <v>0</v>
      </c>
      <c r="D29" s="269">
        <v>1.4500000000000002E-2</v>
      </c>
    </row>
    <row r="30" spans="1:4" x14ac:dyDescent="0.25">
      <c r="A30" s="272">
        <v>44696</v>
      </c>
      <c r="B30" s="278">
        <v>6.5709090909090911E-2</v>
      </c>
      <c r="C30" s="40">
        <v>0</v>
      </c>
      <c r="D30" s="269">
        <v>1.4500000000000002E-2</v>
      </c>
    </row>
    <row r="31" spans="1:4" x14ac:dyDescent="0.25">
      <c r="A31" s="272">
        <v>44727</v>
      </c>
      <c r="B31" s="278">
        <v>6.5709090909090911E-2</v>
      </c>
      <c r="C31" s="40">
        <v>0</v>
      </c>
      <c r="D31" s="269">
        <v>1.4500000000000002E-2</v>
      </c>
    </row>
    <row r="32" spans="1:4" x14ac:dyDescent="0.25">
      <c r="A32" s="272">
        <v>44757</v>
      </c>
      <c r="B32" s="278">
        <v>6.5709090909090911E-2</v>
      </c>
      <c r="C32" s="40">
        <v>0</v>
      </c>
      <c r="D32" s="269">
        <v>1.4500000000000002E-2</v>
      </c>
    </row>
    <row r="33" spans="1:4" x14ac:dyDescent="0.25">
      <c r="A33" s="272">
        <v>44788</v>
      </c>
      <c r="B33" s="278">
        <v>6.5709090909090911E-2</v>
      </c>
      <c r="C33" s="40">
        <v>0</v>
      </c>
      <c r="D33" s="269">
        <v>1.4500000000000002E-2</v>
      </c>
    </row>
    <row r="34" spans="1:4" x14ac:dyDescent="0.25">
      <c r="A34" s="272">
        <v>44819</v>
      </c>
      <c r="B34" s="278">
        <v>6.5709090909090911E-2</v>
      </c>
      <c r="C34" s="40">
        <v>0</v>
      </c>
      <c r="D34" s="269">
        <v>1.4500000000000002E-2</v>
      </c>
    </row>
    <row r="35" spans="1:4" x14ac:dyDescent="0.25">
      <c r="A35" s="272">
        <v>44849</v>
      </c>
      <c r="B35" s="278">
        <v>6.5709090909090911E-2</v>
      </c>
      <c r="C35" s="40">
        <v>0</v>
      </c>
      <c r="D35" s="269">
        <v>1.4500000000000002E-2</v>
      </c>
    </row>
    <row r="36" spans="1:4" x14ac:dyDescent="0.25">
      <c r="A36" s="272">
        <v>44880</v>
      </c>
      <c r="B36" s="278">
        <v>6.5709090909090911E-2</v>
      </c>
      <c r="C36" s="40">
        <v>0</v>
      </c>
      <c r="D36" s="269">
        <v>1.4500000000000002E-2</v>
      </c>
    </row>
    <row r="37" spans="1:4" x14ac:dyDescent="0.25">
      <c r="A37" s="272">
        <v>44910</v>
      </c>
      <c r="B37" s="278">
        <v>6.5709090909090911E-2</v>
      </c>
      <c r="C37" s="40">
        <v>0</v>
      </c>
      <c r="D37" s="269">
        <v>1.4500000000000002E-2</v>
      </c>
    </row>
    <row r="38" spans="1:4" x14ac:dyDescent="0.25">
      <c r="A38" s="272">
        <v>44941</v>
      </c>
      <c r="B38" s="278">
        <v>6.5709090909090911E-2</v>
      </c>
      <c r="C38" s="40">
        <v>0</v>
      </c>
      <c r="D38" s="269">
        <v>2.1749999999999999E-2</v>
      </c>
    </row>
    <row r="39" spans="1:4" x14ac:dyDescent="0.25">
      <c r="A39" s="272">
        <v>44972</v>
      </c>
      <c r="B39" s="278">
        <v>6.7654999999999993E-2</v>
      </c>
      <c r="C39" s="40">
        <v>0</v>
      </c>
      <c r="D39" s="269">
        <v>2.1749999999999999E-2</v>
      </c>
    </row>
    <row r="40" spans="1:4" x14ac:dyDescent="0.25">
      <c r="A40" s="272">
        <v>45000</v>
      </c>
      <c r="B40" s="278">
        <v>6.7654999999999993E-2</v>
      </c>
      <c r="C40" s="40">
        <v>0</v>
      </c>
      <c r="D40" s="269">
        <v>2.1749999999999999E-2</v>
      </c>
    </row>
    <row r="41" spans="1:4" x14ac:dyDescent="0.25">
      <c r="A41" s="272">
        <v>45031</v>
      </c>
      <c r="B41" s="278">
        <v>6.7654999999999993E-2</v>
      </c>
      <c r="C41" s="40">
        <v>0</v>
      </c>
      <c r="D41" s="269">
        <v>2.1749999999999999E-2</v>
      </c>
    </row>
    <row r="42" spans="1:4" x14ac:dyDescent="0.25">
      <c r="A42" s="272">
        <v>45061</v>
      </c>
      <c r="B42" s="278">
        <v>6.7654999999999993E-2</v>
      </c>
      <c r="C42" s="40">
        <v>5.4000000000000003E-3</v>
      </c>
      <c r="D42" s="269">
        <v>2.1749999999999999E-2</v>
      </c>
    </row>
    <row r="43" spans="1:4" x14ac:dyDescent="0.25">
      <c r="A43" s="272">
        <v>45092</v>
      </c>
      <c r="B43" s="278">
        <v>6.7654999999999993E-2</v>
      </c>
      <c r="C43" s="40">
        <v>5.4000000000000003E-3</v>
      </c>
      <c r="D43" s="269">
        <v>2.1749999999999999E-2</v>
      </c>
    </row>
    <row r="44" spans="1:4" x14ac:dyDescent="0.25">
      <c r="A44" s="272">
        <v>45122</v>
      </c>
      <c r="B44" s="278">
        <v>6.7654999999999993E-2</v>
      </c>
      <c r="C44" s="40">
        <v>5.4000000000000003E-3</v>
      </c>
      <c r="D44" s="269">
        <v>2.1749999999999999E-2</v>
      </c>
    </row>
    <row r="45" spans="1:4" x14ac:dyDescent="0.25">
      <c r="A45" s="272">
        <v>45153</v>
      </c>
      <c r="B45" s="278">
        <v>6.7654999999999993E-2</v>
      </c>
      <c r="C45" s="40">
        <v>5.4000000000000003E-3</v>
      </c>
      <c r="D45" s="269">
        <v>2.1749999999999999E-2</v>
      </c>
    </row>
    <row r="46" spans="1:4" x14ac:dyDescent="0.25">
      <c r="A46" s="272">
        <v>45184</v>
      </c>
      <c r="B46" s="278">
        <v>6.7654999999999993E-2</v>
      </c>
      <c r="C46" s="40">
        <v>5.4000000000000003E-3</v>
      </c>
      <c r="D46" s="269">
        <v>2.1749999999999999E-2</v>
      </c>
    </row>
    <row r="47" spans="1:4" x14ac:dyDescent="0.25">
      <c r="A47" s="272">
        <v>45214</v>
      </c>
      <c r="B47" s="278">
        <v>6.7654999999999993E-2</v>
      </c>
      <c r="C47" s="40">
        <v>5.4000000000000003E-3</v>
      </c>
      <c r="D47" s="269">
        <v>2.1749999999999999E-2</v>
      </c>
    </row>
    <row r="48" spans="1:4" x14ac:dyDescent="0.25">
      <c r="A48" s="272">
        <v>45245</v>
      </c>
      <c r="B48" s="278">
        <v>6.7654999999999993E-2</v>
      </c>
      <c r="C48" s="40">
        <v>5.4000000000000003E-3</v>
      </c>
      <c r="D48" s="269">
        <v>2.1749999999999999E-2</v>
      </c>
    </row>
    <row r="49" spans="1:4" x14ac:dyDescent="0.25">
      <c r="A49" s="272">
        <v>45275</v>
      </c>
      <c r="B49" s="278">
        <v>6.7654999999999993E-2</v>
      </c>
      <c r="C49" s="40">
        <v>5.4000000000000003E-3</v>
      </c>
      <c r="D49" s="269">
        <v>2.1749999999999999E-2</v>
      </c>
    </row>
    <row r="50" spans="1:4" x14ac:dyDescent="0.25">
      <c r="A50" s="272">
        <v>45306</v>
      </c>
      <c r="B50" s="278">
        <v>6.7654999999999993E-2</v>
      </c>
      <c r="C50" s="40">
        <v>5.4000000000000003E-3</v>
      </c>
      <c r="D50" s="269">
        <v>3.15E-2</v>
      </c>
    </row>
    <row r="51" spans="1:4" x14ac:dyDescent="0.25">
      <c r="A51" s="272">
        <v>45337</v>
      </c>
      <c r="B51" s="278">
        <v>6.7654999999999993E-2</v>
      </c>
      <c r="C51" s="40">
        <v>5.4000000000000003E-3</v>
      </c>
      <c r="D51" s="269">
        <v>3.15E-2</v>
      </c>
    </row>
    <row r="52" spans="1:4" x14ac:dyDescent="0.25">
      <c r="A52" s="272">
        <v>45366</v>
      </c>
      <c r="B52" s="278">
        <v>6.7654999999999993E-2</v>
      </c>
      <c r="C52" s="40">
        <v>5.4000000000000003E-3</v>
      </c>
      <c r="D52" s="269">
        <v>3.15E-2</v>
      </c>
    </row>
    <row r="53" spans="1:4" x14ac:dyDescent="0.25">
      <c r="A53" s="272">
        <v>45397</v>
      </c>
      <c r="B53" s="278">
        <v>6.7654999999999993E-2</v>
      </c>
      <c r="C53" s="40">
        <v>5.4000000000000003E-3</v>
      </c>
      <c r="D53" s="269">
        <v>3.15E-2</v>
      </c>
    </row>
    <row r="54" spans="1:4" x14ac:dyDescent="0.25">
      <c r="A54" s="272">
        <v>45427</v>
      </c>
      <c r="B54" s="278">
        <v>6.7654999999999993E-2</v>
      </c>
      <c r="C54" s="40">
        <v>1.7000000000000001E-2</v>
      </c>
      <c r="D54" s="269">
        <v>3.15E-2</v>
      </c>
    </row>
    <row r="55" spans="1:4" x14ac:dyDescent="0.25">
      <c r="A55" s="272">
        <v>45458</v>
      </c>
      <c r="B55" s="278">
        <v>6.7654999999999993E-2</v>
      </c>
      <c r="C55" s="40">
        <v>1.7000000000000001E-2</v>
      </c>
      <c r="D55" s="269">
        <v>3.15E-2</v>
      </c>
    </row>
    <row r="56" spans="1:4" x14ac:dyDescent="0.25">
      <c r="A56" s="272">
        <v>45488</v>
      </c>
      <c r="B56" s="278">
        <v>6.7654999999999993E-2</v>
      </c>
      <c r="C56" s="40">
        <v>1.7000000000000001E-2</v>
      </c>
      <c r="D56" s="269">
        <v>3.15E-2</v>
      </c>
    </row>
    <row r="57" spans="1:4" x14ac:dyDescent="0.25">
      <c r="A57" s="272">
        <v>45519</v>
      </c>
      <c r="B57" s="278">
        <v>6.7654999999999993E-2</v>
      </c>
      <c r="C57" s="40">
        <v>1.7000000000000001E-2</v>
      </c>
      <c r="D57" s="269">
        <v>3.15E-2</v>
      </c>
    </row>
    <row r="58" spans="1:4" x14ac:dyDescent="0.25">
      <c r="A58" s="272">
        <v>45550</v>
      </c>
      <c r="B58" s="278">
        <v>6.7654999999999993E-2</v>
      </c>
      <c r="C58" s="40">
        <v>1.7000000000000001E-2</v>
      </c>
      <c r="D58" s="269">
        <v>3.15E-2</v>
      </c>
    </row>
    <row r="59" spans="1:4" x14ac:dyDescent="0.25">
      <c r="A59" s="272">
        <v>45580</v>
      </c>
      <c r="B59" s="278">
        <v>6.7654999999999993E-2</v>
      </c>
      <c r="C59" s="40">
        <v>1.7000000000000001E-2</v>
      </c>
      <c r="D59" s="269">
        <v>3.15E-2</v>
      </c>
    </row>
    <row r="60" spans="1:4" x14ac:dyDescent="0.25">
      <c r="A60" s="272">
        <v>45611</v>
      </c>
      <c r="B60" s="278">
        <v>6.7654999999999993E-2</v>
      </c>
      <c r="C60" s="40">
        <v>1.7000000000000001E-2</v>
      </c>
      <c r="D60" s="269">
        <v>3.15E-2</v>
      </c>
    </row>
    <row r="61" spans="1:4" x14ac:dyDescent="0.25">
      <c r="A61" s="272">
        <v>45641</v>
      </c>
      <c r="B61" s="278">
        <v>6.7654999999999993E-2</v>
      </c>
      <c r="C61" s="40">
        <v>1.7000000000000001E-2</v>
      </c>
      <c r="D61" s="269">
        <v>3.15E-2</v>
      </c>
    </row>
    <row r="62" spans="1:4" x14ac:dyDescent="0.25">
      <c r="A62" s="272">
        <v>45672</v>
      </c>
      <c r="B62" s="278">
        <v>6.7654999999999993E-2</v>
      </c>
      <c r="C62" s="40">
        <v>1.7000000000000001E-2</v>
      </c>
      <c r="D62" s="269">
        <v>3.5000000000000003E-2</v>
      </c>
    </row>
    <row r="63" spans="1:4" x14ac:dyDescent="0.25">
      <c r="A63" s="272">
        <v>45703</v>
      </c>
      <c r="B63" s="278">
        <v>6.7654999999999993E-2</v>
      </c>
      <c r="C63" s="40">
        <v>1.7000000000000001E-2</v>
      </c>
      <c r="D63" s="269">
        <v>3.5000000000000003E-2</v>
      </c>
    </row>
    <row r="64" spans="1:4" x14ac:dyDescent="0.25">
      <c r="A64" s="272">
        <v>45731</v>
      </c>
      <c r="B64" s="278">
        <v>6.7654999999999993E-2</v>
      </c>
      <c r="C64" s="40">
        <v>1.7000000000000001E-2</v>
      </c>
      <c r="D64" s="269">
        <v>3.5000000000000003E-2</v>
      </c>
    </row>
    <row r="65" spans="1:4" x14ac:dyDescent="0.25">
      <c r="A65" s="272">
        <v>45762</v>
      </c>
      <c r="B65" s="278">
        <v>6.7654999999999993E-2</v>
      </c>
      <c r="C65" s="40">
        <v>1.7000000000000001E-2</v>
      </c>
      <c r="D65" s="269">
        <v>3.5000000000000003E-2</v>
      </c>
    </row>
    <row r="66" spans="1:4" x14ac:dyDescent="0.25">
      <c r="A66" s="272">
        <v>45792</v>
      </c>
      <c r="B66" s="278">
        <v>6.7654999999999993E-2</v>
      </c>
      <c r="C66" s="40">
        <v>1.7000000000000001E-2</v>
      </c>
      <c r="D66" s="269">
        <v>3.5000000000000003E-2</v>
      </c>
    </row>
    <row r="67" spans="1:4" x14ac:dyDescent="0.25">
      <c r="A67" s="272">
        <v>45823</v>
      </c>
      <c r="B67" s="278">
        <v>6.7654999999999993E-2</v>
      </c>
      <c r="C67" s="40">
        <v>1.7000000000000001E-2</v>
      </c>
      <c r="D67" s="269">
        <v>3.5000000000000003E-2</v>
      </c>
    </row>
    <row r="68" spans="1:4" x14ac:dyDescent="0.25">
      <c r="A68" s="272">
        <v>45853</v>
      </c>
      <c r="B68" s="278">
        <v>6.7654999999999993E-2</v>
      </c>
      <c r="C68" s="40">
        <v>1.7000000000000001E-2</v>
      </c>
      <c r="D68" s="269">
        <v>3.5000000000000003E-2</v>
      </c>
    </row>
    <row r="69" spans="1:4" x14ac:dyDescent="0.25">
      <c r="A69" s="272">
        <v>45884</v>
      </c>
      <c r="B69" s="278">
        <v>6.7654999999999993E-2</v>
      </c>
      <c r="C69" s="40">
        <v>1.7000000000000001E-2</v>
      </c>
      <c r="D69" s="269">
        <v>3.5000000000000003E-2</v>
      </c>
    </row>
    <row r="70" spans="1:4" x14ac:dyDescent="0.25">
      <c r="A70" s="272">
        <v>45915</v>
      </c>
      <c r="B70" s="278">
        <v>6.7654999999999993E-2</v>
      </c>
      <c r="C70" s="40">
        <v>1.7000000000000001E-2</v>
      </c>
      <c r="D70" s="269">
        <v>3.5000000000000003E-2</v>
      </c>
    </row>
    <row r="71" spans="1:4" x14ac:dyDescent="0.25">
      <c r="A71" s="272">
        <v>45945</v>
      </c>
      <c r="B71" s="278">
        <v>6.7654999999999993E-2</v>
      </c>
      <c r="C71" s="40">
        <v>1.7000000000000001E-2</v>
      </c>
      <c r="D71" s="269">
        <v>3.5000000000000003E-2</v>
      </c>
    </row>
    <row r="72" spans="1:4" x14ac:dyDescent="0.25">
      <c r="A72" s="272">
        <v>45976</v>
      </c>
      <c r="B72" s="278">
        <v>6.7654999999999993E-2</v>
      </c>
      <c r="C72" s="40">
        <v>1.7000000000000001E-2</v>
      </c>
      <c r="D72" s="269">
        <v>3.5000000000000003E-2</v>
      </c>
    </row>
    <row r="73" spans="1:4" x14ac:dyDescent="0.25">
      <c r="A73" s="272">
        <v>46006</v>
      </c>
      <c r="B73" s="278">
        <v>6.7654999999999993E-2</v>
      </c>
      <c r="C73" s="40">
        <v>1.7000000000000001E-2</v>
      </c>
      <c r="D73" s="269">
        <v>3.5000000000000003E-2</v>
      </c>
    </row>
    <row r="74" spans="1:4" x14ac:dyDescent="0.25">
      <c r="A74" s="272">
        <v>46037</v>
      </c>
      <c r="B74" s="278">
        <v>6.7654999999999993E-2</v>
      </c>
      <c r="C74" s="40">
        <v>1.7000000000000001E-2</v>
      </c>
      <c r="D74" s="269">
        <v>3.5000000000000003E-2</v>
      </c>
    </row>
    <row r="75" spans="1:4" x14ac:dyDescent="0.25">
      <c r="A75" s="272">
        <v>46068</v>
      </c>
      <c r="B75" s="278">
        <v>6.7654999999999993E-2</v>
      </c>
      <c r="C75" s="40">
        <v>1.7000000000000001E-2</v>
      </c>
      <c r="D75" s="269">
        <v>3.5000000000000003E-2</v>
      </c>
    </row>
    <row r="76" spans="1:4" x14ac:dyDescent="0.25">
      <c r="A76" s="272">
        <v>46096</v>
      </c>
      <c r="B76" s="278">
        <v>6.7654999999999993E-2</v>
      </c>
      <c r="C76" s="40">
        <v>1.7000000000000001E-2</v>
      </c>
      <c r="D76" s="269">
        <v>3.5000000000000003E-2</v>
      </c>
    </row>
    <row r="77" spans="1:4" x14ac:dyDescent="0.25">
      <c r="A77" s="272">
        <v>46127</v>
      </c>
      <c r="B77" s="278">
        <v>6.7654999999999993E-2</v>
      </c>
      <c r="C77" s="40">
        <v>1.7000000000000001E-2</v>
      </c>
      <c r="D77" s="269">
        <v>3.5000000000000003E-2</v>
      </c>
    </row>
    <row r="78" spans="1:4" x14ac:dyDescent="0.25">
      <c r="A78" s="272">
        <v>46157</v>
      </c>
      <c r="B78" s="278">
        <v>6.6838888888888892E-2</v>
      </c>
      <c r="C78" s="40">
        <v>3.0249999999999999E-2</v>
      </c>
      <c r="D78" s="269">
        <v>3.5000000000000003E-2</v>
      </c>
    </row>
    <row r="79" spans="1:4" x14ac:dyDescent="0.25">
      <c r="A79" s="272">
        <v>46188</v>
      </c>
      <c r="B79" s="278">
        <v>6.6838888888888892E-2</v>
      </c>
      <c r="C79" s="40">
        <v>3.0249999999999999E-2</v>
      </c>
      <c r="D79" s="269">
        <v>3.5000000000000003E-2</v>
      </c>
    </row>
    <row r="80" spans="1:4" x14ac:dyDescent="0.25">
      <c r="A80" s="272">
        <v>46218</v>
      </c>
      <c r="B80" s="278">
        <v>6.6838888888888892E-2</v>
      </c>
      <c r="C80" s="40">
        <v>3.0249999999999999E-2</v>
      </c>
      <c r="D80" s="269">
        <v>3.5000000000000003E-2</v>
      </c>
    </row>
    <row r="81" spans="1:4" x14ac:dyDescent="0.25">
      <c r="A81" s="272">
        <v>46249</v>
      </c>
      <c r="B81" s="278">
        <v>6.6838888888888892E-2</v>
      </c>
      <c r="C81" s="40">
        <v>3.0249999999999999E-2</v>
      </c>
      <c r="D81" s="269">
        <v>3.5000000000000003E-2</v>
      </c>
    </row>
    <row r="82" spans="1:4" x14ac:dyDescent="0.25">
      <c r="A82" s="272">
        <v>46280</v>
      </c>
      <c r="B82" s="278">
        <v>6.6838888888888892E-2</v>
      </c>
      <c r="C82" s="40">
        <v>3.0249999999999999E-2</v>
      </c>
      <c r="D82" s="269">
        <v>3.5000000000000003E-2</v>
      </c>
    </row>
    <row r="83" spans="1:4" x14ac:dyDescent="0.25">
      <c r="A83" s="272">
        <v>46310</v>
      </c>
      <c r="B83" s="278">
        <v>6.6838888888888892E-2</v>
      </c>
      <c r="C83" s="40">
        <v>3.0249999999999999E-2</v>
      </c>
      <c r="D83" s="269">
        <v>3.5000000000000003E-2</v>
      </c>
    </row>
    <row r="84" spans="1:4" x14ac:dyDescent="0.25">
      <c r="A84" s="272">
        <v>46341</v>
      </c>
      <c r="B84" s="278">
        <v>6.6838888888888892E-2</v>
      </c>
      <c r="C84" s="40">
        <v>3.0249999999999999E-2</v>
      </c>
      <c r="D84" s="269">
        <v>3.5000000000000003E-2</v>
      </c>
    </row>
    <row r="85" spans="1:4" x14ac:dyDescent="0.25">
      <c r="A85" s="272">
        <v>46371</v>
      </c>
      <c r="B85" s="278">
        <v>6.6838888888888892E-2</v>
      </c>
      <c r="C85" s="40">
        <v>3.0249999999999999E-2</v>
      </c>
      <c r="D85" s="269">
        <v>3.5000000000000003E-2</v>
      </c>
    </row>
    <row r="86" spans="1:4" x14ac:dyDescent="0.25">
      <c r="A86" s="272">
        <v>46402</v>
      </c>
      <c r="B86" s="278">
        <v>6.6838888888888892E-2</v>
      </c>
      <c r="C86" s="40">
        <v>3.0249999999999999E-2</v>
      </c>
      <c r="D86" s="269">
        <v>3.5000000000000003E-2</v>
      </c>
    </row>
    <row r="87" spans="1:4" x14ac:dyDescent="0.25">
      <c r="A87" s="272">
        <v>46433</v>
      </c>
      <c r="B87" s="278">
        <v>6.6599999999999993E-2</v>
      </c>
      <c r="C87" s="40">
        <v>3.0249999999999999E-2</v>
      </c>
      <c r="D87" s="269">
        <v>3.5000000000000003E-2</v>
      </c>
    </row>
    <row r="88" spans="1:4" x14ac:dyDescent="0.25">
      <c r="A88" s="272">
        <v>46461</v>
      </c>
      <c r="B88" s="278">
        <v>6.6599999999999993E-2</v>
      </c>
      <c r="C88" s="40">
        <v>3.0249999999999999E-2</v>
      </c>
      <c r="D88" s="269">
        <v>3.5000000000000003E-2</v>
      </c>
    </row>
    <row r="89" spans="1:4" x14ac:dyDescent="0.25">
      <c r="A89" s="272">
        <v>46492</v>
      </c>
      <c r="B89" s="278">
        <v>6.6599999999999993E-2</v>
      </c>
      <c r="C89" s="40">
        <v>3.0249999999999999E-2</v>
      </c>
      <c r="D89" s="269">
        <v>3.5000000000000003E-2</v>
      </c>
    </row>
    <row r="90" spans="1:4" x14ac:dyDescent="0.25">
      <c r="A90" s="272">
        <v>46522</v>
      </c>
      <c r="B90" s="278">
        <v>6.6599999999999993E-2</v>
      </c>
      <c r="C90" s="40">
        <v>3.0249999999999999E-2</v>
      </c>
      <c r="D90" s="269">
        <v>3.5000000000000003E-2</v>
      </c>
    </row>
    <row r="91" spans="1:4" x14ac:dyDescent="0.25">
      <c r="A91" s="272">
        <v>46553</v>
      </c>
      <c r="B91" s="278">
        <v>6.6599999999999993E-2</v>
      </c>
      <c r="C91" s="40">
        <v>3.0249999999999999E-2</v>
      </c>
      <c r="D91" s="269">
        <v>3.5000000000000003E-2</v>
      </c>
    </row>
    <row r="92" spans="1:4" x14ac:dyDescent="0.25">
      <c r="A92" s="272">
        <v>46583</v>
      </c>
      <c r="B92" s="278">
        <v>6.6599999999999993E-2</v>
      </c>
      <c r="C92" s="40">
        <v>3.0249999999999999E-2</v>
      </c>
      <c r="D92" s="269">
        <v>3.5000000000000003E-2</v>
      </c>
    </row>
    <row r="93" spans="1:4" x14ac:dyDescent="0.25">
      <c r="A93" s="272">
        <v>46614</v>
      </c>
      <c r="B93" s="278">
        <v>6.6599999999999993E-2</v>
      </c>
      <c r="C93" s="40">
        <v>3.0249999999999999E-2</v>
      </c>
      <c r="D93" s="269">
        <v>3.5000000000000003E-2</v>
      </c>
    </row>
    <row r="94" spans="1:4" x14ac:dyDescent="0.25">
      <c r="A94" s="272">
        <v>46645</v>
      </c>
      <c r="B94" s="278">
        <v>6.6599999999999993E-2</v>
      </c>
      <c r="C94" s="40">
        <v>3.0249999999999999E-2</v>
      </c>
      <c r="D94" s="269">
        <v>3.5000000000000003E-2</v>
      </c>
    </row>
    <row r="95" spans="1:4" x14ac:dyDescent="0.25">
      <c r="A95" s="272">
        <v>46675</v>
      </c>
      <c r="B95" s="278">
        <v>6.6599999999999993E-2</v>
      </c>
      <c r="C95" s="40">
        <v>3.0249999999999999E-2</v>
      </c>
      <c r="D95" s="269">
        <v>3.5000000000000003E-2</v>
      </c>
    </row>
    <row r="96" spans="1:4" x14ac:dyDescent="0.25">
      <c r="A96" s="272">
        <v>46706</v>
      </c>
      <c r="B96" s="278">
        <v>6.6599999999999993E-2</v>
      </c>
      <c r="C96" s="40">
        <v>3.0249999999999999E-2</v>
      </c>
      <c r="D96" s="269">
        <v>3.5000000000000003E-2</v>
      </c>
    </row>
    <row r="97" spans="1:4" x14ac:dyDescent="0.25">
      <c r="A97" s="272">
        <v>46736</v>
      </c>
      <c r="B97" s="278">
        <v>6.6599999999999993E-2</v>
      </c>
      <c r="C97" s="40">
        <v>3.0249999999999999E-2</v>
      </c>
      <c r="D97" s="269">
        <v>3.5000000000000003E-2</v>
      </c>
    </row>
    <row r="98" spans="1:4" x14ac:dyDescent="0.25">
      <c r="A98" s="272">
        <v>46767</v>
      </c>
      <c r="B98" s="278">
        <v>6.6599999999999993E-2</v>
      </c>
      <c r="C98" s="40">
        <v>3.0249999999999999E-2</v>
      </c>
      <c r="D98" s="269">
        <v>3.8750000000000007E-2</v>
      </c>
    </row>
    <row r="99" spans="1:4" x14ac:dyDescent="0.25">
      <c r="A99" s="272">
        <v>46798</v>
      </c>
      <c r="B99" s="278">
        <v>6.7721428571428557E-2</v>
      </c>
      <c r="C99" s="40">
        <v>3.0249999999999999E-2</v>
      </c>
      <c r="D99" s="269">
        <v>3.8750000000000007E-2</v>
      </c>
    </row>
    <row r="100" spans="1:4" x14ac:dyDescent="0.25">
      <c r="A100" s="272">
        <v>46827</v>
      </c>
      <c r="B100" s="278">
        <v>6.7721428571428557E-2</v>
      </c>
      <c r="C100" s="40">
        <v>3.0249999999999999E-2</v>
      </c>
      <c r="D100" s="269">
        <v>3.8750000000000007E-2</v>
      </c>
    </row>
    <row r="101" spans="1:4" x14ac:dyDescent="0.25">
      <c r="A101" s="272">
        <v>46858</v>
      </c>
      <c r="B101" s="278">
        <v>6.7721428571428557E-2</v>
      </c>
      <c r="C101" s="40">
        <v>3.0249999999999999E-2</v>
      </c>
      <c r="D101" s="269">
        <v>3.8750000000000007E-2</v>
      </c>
    </row>
    <row r="102" spans="1:4" x14ac:dyDescent="0.25">
      <c r="A102" s="272">
        <v>46888</v>
      </c>
      <c r="B102" s="278">
        <v>6.7721428571428557E-2</v>
      </c>
      <c r="C102" s="40">
        <v>3.6999999999999998E-2</v>
      </c>
      <c r="D102" s="269">
        <v>3.8750000000000007E-2</v>
      </c>
    </row>
    <row r="103" spans="1:4" x14ac:dyDescent="0.25">
      <c r="A103" s="272">
        <v>46919</v>
      </c>
      <c r="B103" s="278">
        <v>6.7721428571428557E-2</v>
      </c>
      <c r="C103" s="40">
        <v>3.6999999999999998E-2</v>
      </c>
      <c r="D103" s="269">
        <v>3.8750000000000007E-2</v>
      </c>
    </row>
    <row r="104" spans="1:4" x14ac:dyDescent="0.25">
      <c r="A104" s="272">
        <v>46949</v>
      </c>
      <c r="B104" s="278">
        <v>6.7721428571428557E-2</v>
      </c>
      <c r="C104" s="40">
        <v>3.6999999999999998E-2</v>
      </c>
      <c r="D104" s="269">
        <v>3.8750000000000007E-2</v>
      </c>
    </row>
    <row r="105" spans="1:4" x14ac:dyDescent="0.25">
      <c r="A105" s="272">
        <v>46980</v>
      </c>
      <c r="B105" s="278">
        <v>6.7966666666666661E-2</v>
      </c>
      <c r="C105" s="40">
        <v>3.6999999999999998E-2</v>
      </c>
      <c r="D105" s="269">
        <v>3.8750000000000007E-2</v>
      </c>
    </row>
    <row r="106" spans="1:4" x14ac:dyDescent="0.25">
      <c r="A106" s="272">
        <v>47011</v>
      </c>
      <c r="B106" s="278">
        <v>6.7966666666666661E-2</v>
      </c>
      <c r="C106" s="40">
        <v>3.6999999999999998E-2</v>
      </c>
      <c r="D106" s="269">
        <v>3.8750000000000007E-2</v>
      </c>
    </row>
    <row r="107" spans="1:4" x14ac:dyDescent="0.25">
      <c r="A107" s="272">
        <v>47041</v>
      </c>
      <c r="B107" s="278">
        <v>6.7966666666666661E-2</v>
      </c>
      <c r="C107" s="40">
        <v>3.6999999999999998E-2</v>
      </c>
      <c r="D107" s="269">
        <v>3.8750000000000007E-2</v>
      </c>
    </row>
    <row r="108" spans="1:4" x14ac:dyDescent="0.25">
      <c r="A108" s="272">
        <v>47072</v>
      </c>
      <c r="B108" s="278">
        <v>6.7966666666666661E-2</v>
      </c>
      <c r="C108" s="40">
        <v>3.6999999999999998E-2</v>
      </c>
      <c r="D108" s="269">
        <v>3.8750000000000007E-2</v>
      </c>
    </row>
    <row r="109" spans="1:4" x14ac:dyDescent="0.25">
      <c r="A109" s="272">
        <v>47102</v>
      </c>
      <c r="B109" s="278">
        <v>6.7966666666666661E-2</v>
      </c>
      <c r="C109" s="40">
        <v>3.6999999999999998E-2</v>
      </c>
      <c r="D109" s="269">
        <v>3.8750000000000007E-2</v>
      </c>
    </row>
    <row r="110" spans="1:4" x14ac:dyDescent="0.25">
      <c r="A110" s="272">
        <v>47133</v>
      </c>
      <c r="B110" s="278">
        <v>6.7966666666666661E-2</v>
      </c>
      <c r="C110" s="40">
        <v>3.6999999999999998E-2</v>
      </c>
      <c r="D110" s="269">
        <v>4.0500000000000001E-2</v>
      </c>
    </row>
    <row r="111" spans="1:4" x14ac:dyDescent="0.25">
      <c r="A111" s="272">
        <v>47164</v>
      </c>
      <c r="B111" s="278">
        <v>6.7966666666666661E-2</v>
      </c>
      <c r="C111" s="40">
        <v>3.6999999999999998E-2</v>
      </c>
      <c r="D111" s="269">
        <v>4.0500000000000001E-2</v>
      </c>
    </row>
    <row r="112" spans="1:4" x14ac:dyDescent="0.25">
      <c r="A112" s="272">
        <v>47192</v>
      </c>
      <c r="B112" s="278">
        <v>6.7966666666666661E-2</v>
      </c>
      <c r="C112" s="40">
        <v>3.6999999999999998E-2</v>
      </c>
      <c r="D112" s="269">
        <v>4.0500000000000001E-2</v>
      </c>
    </row>
    <row r="113" spans="1:4" x14ac:dyDescent="0.25">
      <c r="A113" s="272">
        <v>47223</v>
      </c>
      <c r="B113" s="278">
        <v>7.0466666666666664E-2</v>
      </c>
      <c r="C113" s="40">
        <v>3.6999999999999998E-2</v>
      </c>
      <c r="D113" s="269">
        <v>4.0500000000000001E-2</v>
      </c>
    </row>
    <row r="114" spans="1:4" x14ac:dyDescent="0.25">
      <c r="A114" s="272">
        <v>47253</v>
      </c>
      <c r="B114" s="278">
        <v>7.0466666666666664E-2</v>
      </c>
      <c r="C114" s="40">
        <v>3.6999999999999998E-2</v>
      </c>
      <c r="D114" s="269">
        <v>4.0500000000000001E-2</v>
      </c>
    </row>
    <row r="115" spans="1:4" x14ac:dyDescent="0.25">
      <c r="A115" s="272">
        <v>47284</v>
      </c>
      <c r="B115" s="278">
        <v>7.0466666666666664E-2</v>
      </c>
      <c r="C115" s="40">
        <v>3.6999999999999998E-2</v>
      </c>
      <c r="D115" s="269">
        <v>4.0500000000000001E-2</v>
      </c>
    </row>
    <row r="116" spans="1:4" x14ac:dyDescent="0.25">
      <c r="A116" s="272">
        <v>47314</v>
      </c>
      <c r="B116" s="278">
        <v>7.0466666666666664E-2</v>
      </c>
      <c r="C116" s="40">
        <v>3.6999999999999998E-2</v>
      </c>
      <c r="D116" s="269">
        <v>4.0500000000000001E-2</v>
      </c>
    </row>
    <row r="117" spans="1:4" x14ac:dyDescent="0.25">
      <c r="A117" s="272">
        <v>47345</v>
      </c>
      <c r="B117" s="278">
        <v>7.0466666666666664E-2</v>
      </c>
      <c r="C117" s="40">
        <v>3.6999999999999998E-2</v>
      </c>
      <c r="D117" s="269">
        <v>4.0500000000000001E-2</v>
      </c>
    </row>
    <row r="118" spans="1:4" x14ac:dyDescent="0.25">
      <c r="A118" s="272">
        <v>47376</v>
      </c>
      <c r="B118" s="278">
        <v>7.0466666666666664E-2</v>
      </c>
      <c r="C118" s="40">
        <v>3.6999999999999998E-2</v>
      </c>
      <c r="D118" s="269">
        <v>4.0500000000000001E-2</v>
      </c>
    </row>
    <row r="119" spans="1:4" x14ac:dyDescent="0.25">
      <c r="A119" s="272">
        <v>47406</v>
      </c>
      <c r="B119" s="278">
        <v>7.0466666666666664E-2</v>
      </c>
      <c r="C119" s="40">
        <v>3.6999999999999998E-2</v>
      </c>
      <c r="D119" s="269">
        <v>4.0500000000000001E-2</v>
      </c>
    </row>
    <row r="120" spans="1:4" x14ac:dyDescent="0.25">
      <c r="A120" s="272">
        <v>47437</v>
      </c>
      <c r="B120" s="278">
        <v>7.0466666666666664E-2</v>
      </c>
      <c r="C120" s="40">
        <v>3.95E-2</v>
      </c>
      <c r="D120" s="269">
        <v>4.0500000000000001E-2</v>
      </c>
    </row>
    <row r="121" spans="1:4" x14ac:dyDescent="0.25">
      <c r="A121" s="272">
        <v>47467</v>
      </c>
      <c r="B121" s="278">
        <v>7.0466666666666664E-2</v>
      </c>
      <c r="C121" s="40">
        <v>3.95E-2</v>
      </c>
      <c r="D121" s="269">
        <v>4.0500000000000001E-2</v>
      </c>
    </row>
    <row r="122" spans="1:4" x14ac:dyDescent="0.25">
      <c r="A122" s="272">
        <v>47498</v>
      </c>
      <c r="B122" s="278">
        <v>7.0466666666666664E-2</v>
      </c>
      <c r="C122" s="40">
        <v>3.95E-2</v>
      </c>
      <c r="D122" s="269">
        <v>4.3249999999999997E-2</v>
      </c>
    </row>
    <row r="123" spans="1:4" x14ac:dyDescent="0.25">
      <c r="A123" s="272">
        <v>47529</v>
      </c>
      <c r="B123" s="278">
        <v>7.0466666666666664E-2</v>
      </c>
      <c r="C123" s="40">
        <v>3.95E-2</v>
      </c>
      <c r="D123" s="269">
        <v>4.3249999999999997E-2</v>
      </c>
    </row>
    <row r="124" spans="1:4" x14ac:dyDescent="0.25">
      <c r="A124" s="272">
        <v>47557</v>
      </c>
      <c r="B124" s="278">
        <v>7.0466666666666664E-2</v>
      </c>
      <c r="C124" s="40">
        <v>3.95E-2</v>
      </c>
      <c r="D124" s="269">
        <v>4.3249999999999997E-2</v>
      </c>
    </row>
    <row r="125" spans="1:4" x14ac:dyDescent="0.25">
      <c r="A125" s="272">
        <v>47588</v>
      </c>
      <c r="B125" s="278">
        <v>7.0466666666666664E-2</v>
      </c>
      <c r="C125" s="40">
        <v>3.95E-2</v>
      </c>
      <c r="D125" s="269">
        <v>4.3249999999999997E-2</v>
      </c>
    </row>
    <row r="126" spans="1:4" x14ac:dyDescent="0.25">
      <c r="A126" s="272">
        <v>47618</v>
      </c>
      <c r="B126" s="278">
        <v>7.0466666666666664E-2</v>
      </c>
      <c r="C126" s="40">
        <v>3.95E-2</v>
      </c>
      <c r="D126" s="269">
        <v>4.3249999999999997E-2</v>
      </c>
    </row>
    <row r="127" spans="1:4" x14ac:dyDescent="0.25">
      <c r="A127" s="272">
        <v>47649</v>
      </c>
      <c r="B127" s="278">
        <v>7.0466666666666664E-2</v>
      </c>
      <c r="C127" s="40">
        <v>3.95E-2</v>
      </c>
      <c r="D127" s="269">
        <v>4.3249999999999997E-2</v>
      </c>
    </row>
    <row r="128" spans="1:4" x14ac:dyDescent="0.25">
      <c r="A128" s="272">
        <v>47679</v>
      </c>
      <c r="B128" s="278">
        <v>7.0466666666666664E-2</v>
      </c>
      <c r="C128" s="40">
        <v>3.95E-2</v>
      </c>
      <c r="D128" s="269">
        <v>4.3249999999999997E-2</v>
      </c>
    </row>
    <row r="129" spans="1:4" x14ac:dyDescent="0.25">
      <c r="A129" s="272">
        <v>47710</v>
      </c>
      <c r="B129" s="278">
        <v>7.0466666666666664E-2</v>
      </c>
      <c r="C129" s="40">
        <v>3.95E-2</v>
      </c>
      <c r="D129" s="269">
        <v>4.3249999999999997E-2</v>
      </c>
    </row>
    <row r="130" spans="1:4" x14ac:dyDescent="0.25">
      <c r="A130" s="272">
        <v>47741</v>
      </c>
      <c r="B130" s="278">
        <v>7.0466666666666664E-2</v>
      </c>
      <c r="C130" s="40">
        <v>3.95E-2</v>
      </c>
      <c r="D130" s="269">
        <v>4.3249999999999997E-2</v>
      </c>
    </row>
    <row r="131" spans="1:4" x14ac:dyDescent="0.25">
      <c r="A131" s="272">
        <v>47771</v>
      </c>
      <c r="B131" s="278">
        <v>7.0466666666666664E-2</v>
      </c>
      <c r="C131" s="40">
        <v>3.95E-2</v>
      </c>
      <c r="D131" s="269">
        <v>4.3249999999999997E-2</v>
      </c>
    </row>
    <row r="132" spans="1:4" x14ac:dyDescent="0.25">
      <c r="A132" s="272">
        <v>47802</v>
      </c>
      <c r="B132" s="278">
        <v>7.0466666666666664E-2</v>
      </c>
      <c r="C132" s="40">
        <v>3.95E-2</v>
      </c>
      <c r="D132" s="269">
        <v>4.3249999999999997E-2</v>
      </c>
    </row>
    <row r="133" spans="1:4" x14ac:dyDescent="0.25">
      <c r="A133" s="272">
        <v>47832</v>
      </c>
      <c r="B133" s="278">
        <v>7.0466666666666664E-2</v>
      </c>
      <c r="C133" s="40">
        <v>3.95E-2</v>
      </c>
      <c r="D133" s="269">
        <v>4.3249999999999997E-2</v>
      </c>
    </row>
    <row r="134" spans="1:4" x14ac:dyDescent="0.25">
      <c r="A134" s="272">
        <v>47863</v>
      </c>
      <c r="B134" s="278">
        <v>7.0466666666666664E-2</v>
      </c>
      <c r="C134" s="40">
        <v>3.95E-2</v>
      </c>
      <c r="D134" s="269">
        <v>4.9687499999999996E-2</v>
      </c>
    </row>
    <row r="135" spans="1:4" x14ac:dyDescent="0.25">
      <c r="A135" s="272">
        <v>47894</v>
      </c>
      <c r="B135" s="278">
        <v>7.0466666666666664E-2</v>
      </c>
      <c r="C135" s="40">
        <v>3.95E-2</v>
      </c>
      <c r="D135" s="269">
        <v>4.9687499999999996E-2</v>
      </c>
    </row>
    <row r="136" spans="1:4" x14ac:dyDescent="0.25">
      <c r="A136" s="272">
        <v>47922</v>
      </c>
      <c r="B136" s="278">
        <v>7.0466666666666664E-2</v>
      </c>
      <c r="C136" s="40">
        <v>3.95E-2</v>
      </c>
      <c r="D136" s="269">
        <v>4.9687499999999996E-2</v>
      </c>
    </row>
    <row r="137" spans="1:4" x14ac:dyDescent="0.25">
      <c r="A137" s="272">
        <v>47953</v>
      </c>
      <c r="B137" s="278">
        <v>7.0466666666666664E-2</v>
      </c>
      <c r="C137" s="40">
        <v>3.95E-2</v>
      </c>
      <c r="D137" s="269">
        <v>4.9687499999999996E-2</v>
      </c>
    </row>
    <row r="138" spans="1:4" x14ac:dyDescent="0.25">
      <c r="A138" s="272">
        <v>47983</v>
      </c>
      <c r="B138" s="278">
        <v>7.0466666666666664E-2</v>
      </c>
      <c r="C138" s="40">
        <v>4.4999999999999998E-2</v>
      </c>
      <c r="D138" s="269">
        <v>4.9687499999999996E-2</v>
      </c>
    </row>
    <row r="139" spans="1:4" x14ac:dyDescent="0.25">
      <c r="A139" s="272">
        <v>48014</v>
      </c>
      <c r="B139" s="278">
        <v>7.0466666666666664E-2</v>
      </c>
      <c r="C139" s="40">
        <v>4.4999999999999998E-2</v>
      </c>
      <c r="D139" s="269">
        <v>4.9687499999999996E-2</v>
      </c>
    </row>
    <row r="140" spans="1:4" x14ac:dyDescent="0.25">
      <c r="A140" s="272">
        <v>48044</v>
      </c>
      <c r="B140" s="278">
        <v>7.0466666666666664E-2</v>
      </c>
      <c r="C140" s="40">
        <v>4.4999999999999998E-2</v>
      </c>
      <c r="D140" s="269">
        <v>4.9687499999999996E-2</v>
      </c>
    </row>
    <row r="141" spans="1:4" x14ac:dyDescent="0.25">
      <c r="A141" s="272">
        <v>48075</v>
      </c>
      <c r="B141" s="278">
        <v>7.0466666666666664E-2</v>
      </c>
      <c r="C141" s="40">
        <v>4.4999999999999998E-2</v>
      </c>
      <c r="D141" s="269">
        <v>4.9687499999999996E-2</v>
      </c>
    </row>
    <row r="142" spans="1:4" x14ac:dyDescent="0.25">
      <c r="A142" s="272">
        <v>48106</v>
      </c>
      <c r="B142" s="278">
        <v>7.0466666666666664E-2</v>
      </c>
      <c r="C142" s="40">
        <v>4.4999999999999998E-2</v>
      </c>
      <c r="D142" s="269">
        <v>4.9687499999999996E-2</v>
      </c>
    </row>
    <row r="143" spans="1:4" x14ac:dyDescent="0.25">
      <c r="A143" s="272">
        <v>48136</v>
      </c>
      <c r="B143" s="278">
        <v>7.0466666666666664E-2</v>
      </c>
      <c r="C143" s="40">
        <v>4.4999999999999998E-2</v>
      </c>
      <c r="D143" s="269">
        <v>4.9687499999999996E-2</v>
      </c>
    </row>
    <row r="144" spans="1:4" x14ac:dyDescent="0.25">
      <c r="A144" s="272">
        <v>48167</v>
      </c>
      <c r="B144" s="278">
        <v>7.0466666666666664E-2</v>
      </c>
      <c r="C144" s="40">
        <v>4.4999999999999998E-2</v>
      </c>
      <c r="D144" s="269">
        <v>4.9687499999999996E-2</v>
      </c>
    </row>
    <row r="145" spans="1:4" x14ac:dyDescent="0.25">
      <c r="A145" s="272">
        <v>48197</v>
      </c>
      <c r="B145" s="278">
        <v>7.0466666666666664E-2</v>
      </c>
      <c r="C145" s="40">
        <v>4.4999999999999998E-2</v>
      </c>
      <c r="D145" s="269">
        <v>4.9687499999999996E-2</v>
      </c>
    </row>
    <row r="146" spans="1:4" x14ac:dyDescent="0.25">
      <c r="A146" s="272">
        <v>48228</v>
      </c>
      <c r="B146" s="278">
        <v>7.0466666666666664E-2</v>
      </c>
      <c r="C146" s="40">
        <v>4.4999999999999998E-2</v>
      </c>
      <c r="D146" s="269">
        <v>4.9687499999999996E-2</v>
      </c>
    </row>
    <row r="147" spans="1:4" x14ac:dyDescent="0.25">
      <c r="A147" s="272">
        <v>48259</v>
      </c>
      <c r="B147" s="278">
        <v>7.0466666666666664E-2</v>
      </c>
      <c r="C147" s="40">
        <v>4.4999999999999998E-2</v>
      </c>
      <c r="D147" s="269">
        <v>4.9687499999999996E-2</v>
      </c>
    </row>
    <row r="148" spans="1:4" x14ac:dyDescent="0.25">
      <c r="A148" s="272">
        <v>48288</v>
      </c>
      <c r="B148" s="278">
        <v>7.0466666666666664E-2</v>
      </c>
      <c r="C148" s="40">
        <v>4.4999999999999998E-2</v>
      </c>
      <c r="D148" s="269">
        <v>4.9687499999999996E-2</v>
      </c>
    </row>
    <row r="149" spans="1:4" x14ac:dyDescent="0.25">
      <c r="A149" s="272">
        <v>48319</v>
      </c>
      <c r="B149" s="278">
        <v>7.0466666666666664E-2</v>
      </c>
      <c r="C149" s="40">
        <v>4.4999999999999998E-2</v>
      </c>
      <c r="D149" s="269">
        <v>4.9687499999999996E-2</v>
      </c>
    </row>
    <row r="150" spans="1:4" x14ac:dyDescent="0.25">
      <c r="A150" s="272">
        <v>48349</v>
      </c>
      <c r="B150" s="278">
        <v>7.0466666666666664E-2</v>
      </c>
      <c r="C150" s="40">
        <v>4.4999999999999998E-2</v>
      </c>
      <c r="D150" s="269">
        <v>4.9687499999999996E-2</v>
      </c>
    </row>
    <row r="151" spans="1:4" x14ac:dyDescent="0.25">
      <c r="A151" s="272">
        <v>48380</v>
      </c>
      <c r="B151" s="278">
        <v>7.0466666666666664E-2</v>
      </c>
      <c r="C151" s="40">
        <v>4.4999999999999998E-2</v>
      </c>
      <c r="D151" s="269">
        <v>4.9687499999999996E-2</v>
      </c>
    </row>
    <row r="152" spans="1:4" x14ac:dyDescent="0.25">
      <c r="A152" s="272">
        <v>48410</v>
      </c>
      <c r="B152" s="278">
        <v>7.0466666666666664E-2</v>
      </c>
      <c r="C152" s="40">
        <v>4.4999999999999998E-2</v>
      </c>
      <c r="D152" s="269">
        <v>4.9687499999999996E-2</v>
      </c>
    </row>
    <row r="153" spans="1:4" x14ac:dyDescent="0.25">
      <c r="A153" s="272">
        <v>48441</v>
      </c>
      <c r="B153" s="278">
        <v>7.0466666666666664E-2</v>
      </c>
      <c r="C153" s="40">
        <v>4.4999999999999998E-2</v>
      </c>
      <c r="D153" s="269">
        <v>4.9687499999999996E-2</v>
      </c>
    </row>
    <row r="154" spans="1:4" x14ac:dyDescent="0.25">
      <c r="A154" s="272">
        <v>48472</v>
      </c>
      <c r="B154" s="278">
        <v>7.0466666666666664E-2</v>
      </c>
      <c r="C154" s="40">
        <v>4.4999999999999998E-2</v>
      </c>
      <c r="D154" s="269">
        <v>4.9687499999999996E-2</v>
      </c>
    </row>
    <row r="155" spans="1:4" x14ac:dyDescent="0.25">
      <c r="A155" s="272">
        <v>48502</v>
      </c>
      <c r="B155" s="278">
        <v>7.0466666666666664E-2</v>
      </c>
      <c r="C155" s="40">
        <v>4.4999999999999998E-2</v>
      </c>
      <c r="D155" s="269">
        <v>4.9687499999999996E-2</v>
      </c>
    </row>
    <row r="156" spans="1:4" x14ac:dyDescent="0.25">
      <c r="A156" s="272">
        <v>48533</v>
      </c>
      <c r="B156" s="278">
        <v>7.0466666666666664E-2</v>
      </c>
      <c r="C156" s="40">
        <v>4.4999999999999998E-2</v>
      </c>
      <c r="D156" s="269">
        <v>4.9687499999999996E-2</v>
      </c>
    </row>
    <row r="157" spans="1:4" x14ac:dyDescent="0.25">
      <c r="A157" s="272">
        <v>48563</v>
      </c>
      <c r="B157" s="278">
        <v>7.0466666666666664E-2</v>
      </c>
      <c r="C157" s="40">
        <v>4.4999999999999998E-2</v>
      </c>
      <c r="D157" s="269">
        <v>4.9687499999999996E-2</v>
      </c>
    </row>
    <row r="158" spans="1:4" x14ac:dyDescent="0.25">
      <c r="A158" s="272">
        <v>48594</v>
      </c>
      <c r="B158" s="278">
        <v>7.0466666666666664E-2</v>
      </c>
      <c r="C158" s="40">
        <v>4.4999999999999998E-2</v>
      </c>
      <c r="D158" s="269">
        <v>4.9687499999999996E-2</v>
      </c>
    </row>
    <row r="159" spans="1:4" x14ac:dyDescent="0.25">
      <c r="A159" s="272">
        <v>48625</v>
      </c>
      <c r="B159" s="278">
        <v>7.0466666666666664E-2</v>
      </c>
      <c r="C159" s="40">
        <v>4.4999999999999998E-2</v>
      </c>
      <c r="D159" s="269">
        <v>4.9687499999999996E-2</v>
      </c>
    </row>
    <row r="160" spans="1:4" x14ac:dyDescent="0.25">
      <c r="A160" s="272">
        <v>48653</v>
      </c>
      <c r="B160" s="278">
        <v>7.0466666666666664E-2</v>
      </c>
      <c r="C160" s="40">
        <v>4.4999999999999998E-2</v>
      </c>
      <c r="D160" s="269">
        <v>4.9687499999999996E-2</v>
      </c>
    </row>
    <row r="161" spans="1:4" x14ac:dyDescent="0.25">
      <c r="A161" s="272">
        <v>48684</v>
      </c>
      <c r="B161" s="278">
        <v>7.0466666666666664E-2</v>
      </c>
      <c r="C161" s="40">
        <v>4.4999999999999998E-2</v>
      </c>
      <c r="D161" s="269">
        <v>4.9687499999999996E-2</v>
      </c>
    </row>
    <row r="162" spans="1:4" x14ac:dyDescent="0.25">
      <c r="A162" s="272">
        <v>48714</v>
      </c>
      <c r="B162" s="278">
        <v>7.0466666666666664E-2</v>
      </c>
      <c r="C162" s="40">
        <v>4.4999999999999998E-2</v>
      </c>
      <c r="D162" s="269">
        <v>4.9687499999999996E-2</v>
      </c>
    </row>
    <row r="163" spans="1:4" x14ac:dyDescent="0.25">
      <c r="A163" s="272">
        <v>48745</v>
      </c>
      <c r="B163" s="278">
        <v>7.0466666666666664E-2</v>
      </c>
      <c r="C163" s="40">
        <v>4.4999999999999998E-2</v>
      </c>
      <c r="D163" s="269">
        <v>4.9687499999999996E-2</v>
      </c>
    </row>
    <row r="164" spans="1:4" x14ac:dyDescent="0.25">
      <c r="A164" s="272">
        <v>48775</v>
      </c>
      <c r="B164" s="278">
        <v>7.0466666666666664E-2</v>
      </c>
      <c r="C164" s="40">
        <v>4.4999999999999998E-2</v>
      </c>
      <c r="D164" s="269">
        <v>4.9687499999999996E-2</v>
      </c>
    </row>
    <row r="165" spans="1:4" x14ac:dyDescent="0.25">
      <c r="A165" s="272">
        <v>48806</v>
      </c>
      <c r="B165" s="278">
        <v>7.0466666666666664E-2</v>
      </c>
      <c r="C165" s="40">
        <v>4.4999999999999998E-2</v>
      </c>
      <c r="D165" s="269">
        <v>4.9687499999999996E-2</v>
      </c>
    </row>
    <row r="166" spans="1:4" x14ac:dyDescent="0.25">
      <c r="A166" s="272">
        <v>48837</v>
      </c>
      <c r="B166" s="278">
        <v>7.0466666666666664E-2</v>
      </c>
      <c r="C166" s="40">
        <v>4.4999999999999998E-2</v>
      </c>
      <c r="D166" s="269">
        <v>4.9687499999999996E-2</v>
      </c>
    </row>
    <row r="167" spans="1:4" x14ac:dyDescent="0.25">
      <c r="A167" s="272">
        <v>48867</v>
      </c>
      <c r="B167" s="278">
        <v>7.0466666666666664E-2</v>
      </c>
      <c r="C167" s="40">
        <v>4.4999999999999998E-2</v>
      </c>
      <c r="D167" s="269">
        <v>4.9687499999999996E-2</v>
      </c>
    </row>
    <row r="168" spans="1:4" x14ac:dyDescent="0.25">
      <c r="A168" s="272">
        <v>48898</v>
      </c>
      <c r="B168" s="278">
        <v>7.0466666666666664E-2</v>
      </c>
      <c r="C168" s="40">
        <v>4.4999999999999998E-2</v>
      </c>
      <c r="D168" s="269">
        <v>4.9687499999999996E-2</v>
      </c>
    </row>
    <row r="169" spans="1:4" x14ac:dyDescent="0.25">
      <c r="A169" s="272">
        <v>48928</v>
      </c>
      <c r="B169" s="278">
        <v>7.0466666666666664E-2</v>
      </c>
      <c r="C169" s="40">
        <v>4.4999999999999998E-2</v>
      </c>
      <c r="D169" s="269">
        <v>4.9687499999999996E-2</v>
      </c>
    </row>
    <row r="170" spans="1:4" x14ac:dyDescent="0.25">
      <c r="A170" s="272">
        <v>48959</v>
      </c>
      <c r="B170" s="278">
        <v>6.7999999999999991E-2</v>
      </c>
      <c r="C170" s="40">
        <v>4.4999999999999998E-2</v>
      </c>
      <c r="D170" s="269">
        <v>4.9687499999999996E-2</v>
      </c>
    </row>
    <row r="171" spans="1:4" x14ac:dyDescent="0.25">
      <c r="A171" s="272">
        <v>48990</v>
      </c>
      <c r="B171" s="278">
        <v>6.7999999999999991E-2</v>
      </c>
      <c r="C171" s="40">
        <v>4.4999999999999998E-2</v>
      </c>
      <c r="D171" s="269">
        <v>4.9687499999999996E-2</v>
      </c>
    </row>
    <row r="172" spans="1:4" x14ac:dyDescent="0.25">
      <c r="A172" s="272">
        <v>49018</v>
      </c>
      <c r="B172" s="278">
        <v>6.7999999999999991E-2</v>
      </c>
      <c r="C172" s="40">
        <v>4.4999999999999998E-2</v>
      </c>
      <c r="D172" s="269">
        <v>4.9687499999999996E-2</v>
      </c>
    </row>
    <row r="173" spans="1:4" x14ac:dyDescent="0.25">
      <c r="A173" s="272">
        <v>49049</v>
      </c>
      <c r="B173" s="278">
        <v>6.7999999999999991E-2</v>
      </c>
      <c r="C173" s="40">
        <v>4.4999999999999998E-2</v>
      </c>
      <c r="D173" s="269">
        <v>4.9687499999999996E-2</v>
      </c>
    </row>
    <row r="174" spans="1:4" x14ac:dyDescent="0.25">
      <c r="A174" s="272">
        <v>49079</v>
      </c>
      <c r="B174" s="278">
        <v>6.7999999999999991E-2</v>
      </c>
      <c r="C174" s="40">
        <v>4.4999999999999998E-2</v>
      </c>
      <c r="D174" s="269">
        <v>4.9687499999999996E-2</v>
      </c>
    </row>
    <row r="175" spans="1:4" x14ac:dyDescent="0.25">
      <c r="A175" s="272">
        <v>49110</v>
      </c>
      <c r="B175" s="278">
        <v>6.7999999999999991E-2</v>
      </c>
      <c r="C175" s="40">
        <v>4.4999999999999998E-2</v>
      </c>
      <c r="D175" s="269">
        <v>4.9687499999999996E-2</v>
      </c>
    </row>
    <row r="176" spans="1:4" x14ac:dyDescent="0.25">
      <c r="A176" s="272">
        <v>49140</v>
      </c>
      <c r="B176" s="278">
        <v>6.7999999999999991E-2</v>
      </c>
      <c r="C176" s="40">
        <v>4.4999999999999998E-2</v>
      </c>
      <c r="D176" s="269">
        <v>4.9687499999999996E-2</v>
      </c>
    </row>
    <row r="177" spans="1:4" x14ac:dyDescent="0.25">
      <c r="A177" s="272">
        <v>49171</v>
      </c>
      <c r="B177" s="278">
        <v>6.7999999999999991E-2</v>
      </c>
      <c r="C177" s="40">
        <v>4.4999999999999998E-2</v>
      </c>
      <c r="D177" s="269">
        <v>4.9687499999999996E-2</v>
      </c>
    </row>
    <row r="178" spans="1:4" x14ac:dyDescent="0.25">
      <c r="A178" s="272">
        <v>49202</v>
      </c>
      <c r="B178" s="278">
        <v>6.7999999999999991E-2</v>
      </c>
      <c r="C178" s="40">
        <v>4.4999999999999998E-2</v>
      </c>
      <c r="D178" s="269">
        <v>4.9687499999999996E-2</v>
      </c>
    </row>
    <row r="179" spans="1:4" x14ac:dyDescent="0.25">
      <c r="A179" s="272">
        <v>49232</v>
      </c>
      <c r="B179" s="278">
        <v>6.7999999999999991E-2</v>
      </c>
      <c r="C179" s="40">
        <v>4.4999999999999998E-2</v>
      </c>
      <c r="D179" s="269">
        <v>4.9687499999999996E-2</v>
      </c>
    </row>
    <row r="180" spans="1:4" x14ac:dyDescent="0.25">
      <c r="A180" s="272">
        <v>49263</v>
      </c>
      <c r="B180" s="278">
        <v>6.7999999999999991E-2</v>
      </c>
      <c r="C180" s="40">
        <v>4.4999999999999998E-2</v>
      </c>
      <c r="D180" s="269">
        <v>4.9687499999999996E-2</v>
      </c>
    </row>
    <row r="181" spans="1:4" x14ac:dyDescent="0.25">
      <c r="A181" s="272">
        <v>49293</v>
      </c>
      <c r="B181" s="278">
        <v>6.7999999999999991E-2</v>
      </c>
      <c r="C181" s="40">
        <v>4.4999999999999998E-2</v>
      </c>
      <c r="D181" s="269">
        <v>4.9687499999999996E-2</v>
      </c>
    </row>
    <row r="182" spans="1:4" x14ac:dyDescent="0.25">
      <c r="A182" s="272">
        <v>49324</v>
      </c>
      <c r="B182" s="278">
        <v>6.7999999999999991E-2</v>
      </c>
      <c r="C182" s="40">
        <v>4.4999999999999998E-2</v>
      </c>
      <c r="D182" s="269">
        <v>4.9687499999999996E-2</v>
      </c>
    </row>
    <row r="183" spans="1:4" x14ac:dyDescent="0.25">
      <c r="A183" s="272">
        <v>49355</v>
      </c>
      <c r="B183" s="278">
        <v>6.7999999999999991E-2</v>
      </c>
      <c r="C183" s="40">
        <v>4.4999999999999998E-2</v>
      </c>
      <c r="D183" s="269">
        <v>4.9687499999999996E-2</v>
      </c>
    </row>
    <row r="184" spans="1:4" x14ac:dyDescent="0.25">
      <c r="A184" s="272">
        <v>49383</v>
      </c>
      <c r="B184" s="278">
        <v>6.7999999999999991E-2</v>
      </c>
      <c r="C184" s="40">
        <v>4.4999999999999998E-2</v>
      </c>
      <c r="D184" s="269">
        <v>4.9687499999999996E-2</v>
      </c>
    </row>
    <row r="185" spans="1:4" x14ac:dyDescent="0.25">
      <c r="A185" s="272">
        <v>49414</v>
      </c>
      <c r="B185" s="278">
        <v>6.7999999999999991E-2</v>
      </c>
      <c r="C185" s="40">
        <v>4.4999999999999998E-2</v>
      </c>
      <c r="D185" s="269">
        <v>4.9687499999999996E-2</v>
      </c>
    </row>
    <row r="186" spans="1:4" x14ac:dyDescent="0.25">
      <c r="A186" s="272">
        <v>49444</v>
      </c>
      <c r="B186" s="278">
        <v>6.7999999999999991E-2</v>
      </c>
      <c r="C186" s="40">
        <v>4.4999999999999998E-2</v>
      </c>
      <c r="D186" s="269">
        <v>4.9687499999999996E-2</v>
      </c>
    </row>
    <row r="187" spans="1:4" x14ac:dyDescent="0.25">
      <c r="A187" s="272">
        <v>49475</v>
      </c>
      <c r="B187" s="278">
        <v>6.7999999999999991E-2</v>
      </c>
      <c r="C187" s="40">
        <v>4.4999999999999998E-2</v>
      </c>
      <c r="D187" s="269">
        <v>4.9687499999999996E-2</v>
      </c>
    </row>
    <row r="188" spans="1:4" x14ac:dyDescent="0.25">
      <c r="A188" s="272">
        <v>49505</v>
      </c>
      <c r="B188" s="278">
        <v>6.7999999999999991E-2</v>
      </c>
      <c r="C188" s="40">
        <v>4.4999999999999998E-2</v>
      </c>
      <c r="D188" s="269">
        <v>4.9687499999999996E-2</v>
      </c>
    </row>
    <row r="189" spans="1:4" x14ac:dyDescent="0.25">
      <c r="A189" s="272">
        <v>49536</v>
      </c>
      <c r="B189" s="278">
        <v>6.7999999999999991E-2</v>
      </c>
      <c r="C189" s="40">
        <v>4.4999999999999998E-2</v>
      </c>
      <c r="D189" s="269">
        <v>4.9687499999999996E-2</v>
      </c>
    </row>
    <row r="190" spans="1:4" x14ac:dyDescent="0.25">
      <c r="A190" s="272">
        <v>49567</v>
      </c>
      <c r="B190" s="278">
        <v>6.7999999999999991E-2</v>
      </c>
      <c r="C190" s="40">
        <v>4.4999999999999998E-2</v>
      </c>
      <c r="D190" s="269">
        <v>4.9687499999999996E-2</v>
      </c>
    </row>
    <row r="191" spans="1:4" x14ac:dyDescent="0.25">
      <c r="A191" s="272">
        <v>49597</v>
      </c>
      <c r="B191" s="278">
        <v>6.7999999999999991E-2</v>
      </c>
      <c r="C191" s="40">
        <v>4.4999999999999998E-2</v>
      </c>
      <c r="D191" s="269">
        <v>4.9687499999999996E-2</v>
      </c>
    </row>
    <row r="192" spans="1:4" x14ac:dyDescent="0.25">
      <c r="A192" s="272">
        <v>49628</v>
      </c>
      <c r="B192" s="278">
        <v>6.7999999999999991E-2</v>
      </c>
      <c r="C192" s="40">
        <v>4.4999999999999998E-2</v>
      </c>
      <c r="D192" s="269">
        <v>4.9687499999999996E-2</v>
      </c>
    </row>
    <row r="193" spans="1:4" x14ac:dyDescent="0.25">
      <c r="A193" s="272">
        <v>49658</v>
      </c>
      <c r="B193" s="278">
        <v>6.7999999999999991E-2</v>
      </c>
      <c r="C193" s="40">
        <v>4.4999999999999998E-2</v>
      </c>
      <c r="D193" s="269">
        <v>4.9687499999999996E-2</v>
      </c>
    </row>
    <row r="194" spans="1:4" x14ac:dyDescent="0.25">
      <c r="A194" s="272">
        <v>49689</v>
      </c>
      <c r="B194" s="278">
        <v>6.7999999999999991E-2</v>
      </c>
      <c r="C194" s="40">
        <v>4.4999999999999998E-2</v>
      </c>
      <c r="D194" s="269">
        <v>4.9583333333333333E-2</v>
      </c>
    </row>
    <row r="195" spans="1:4" x14ac:dyDescent="0.25">
      <c r="A195" s="272">
        <v>49720</v>
      </c>
      <c r="B195" s="278">
        <v>6.7999999999999991E-2</v>
      </c>
      <c r="C195" s="40">
        <v>4.4999999999999998E-2</v>
      </c>
      <c r="D195" s="269">
        <v>4.9583333333333333E-2</v>
      </c>
    </row>
    <row r="196" spans="1:4" x14ac:dyDescent="0.25">
      <c r="A196" s="272">
        <v>49749</v>
      </c>
      <c r="B196" s="278">
        <v>6.7999999999999991E-2</v>
      </c>
      <c r="C196" s="40">
        <v>4.4999999999999998E-2</v>
      </c>
      <c r="D196" s="269">
        <v>4.9583333333333333E-2</v>
      </c>
    </row>
    <row r="197" spans="1:4" x14ac:dyDescent="0.25">
      <c r="A197" s="272">
        <v>49780</v>
      </c>
      <c r="B197" s="278">
        <v>6.7999999999999991E-2</v>
      </c>
      <c r="C197" s="40">
        <v>4.4999999999999998E-2</v>
      </c>
      <c r="D197" s="269">
        <v>4.9583333333333333E-2</v>
      </c>
    </row>
    <row r="198" spans="1:4" x14ac:dyDescent="0.25">
      <c r="A198" s="272">
        <v>49810</v>
      </c>
      <c r="B198" s="278">
        <v>6.7999999999999991E-2</v>
      </c>
      <c r="C198" s="40">
        <v>4.4999999999999998E-2</v>
      </c>
      <c r="D198" s="269">
        <v>4.9583333333333333E-2</v>
      </c>
    </row>
    <row r="199" spans="1:4" x14ac:dyDescent="0.25">
      <c r="A199" s="272">
        <v>49841</v>
      </c>
      <c r="B199" s="278">
        <v>6.7999999999999991E-2</v>
      </c>
      <c r="C199" s="40">
        <v>4.4999999999999998E-2</v>
      </c>
      <c r="D199" s="269">
        <v>4.9583333333333333E-2</v>
      </c>
    </row>
    <row r="200" spans="1:4" x14ac:dyDescent="0.25">
      <c r="A200" s="272">
        <v>49871</v>
      </c>
      <c r="B200" s="278">
        <v>6.7999999999999991E-2</v>
      </c>
      <c r="C200" s="40">
        <v>4.4999999999999998E-2</v>
      </c>
      <c r="D200" s="269">
        <v>4.9583333333333333E-2</v>
      </c>
    </row>
    <row r="201" spans="1:4" x14ac:dyDescent="0.25">
      <c r="A201" s="272">
        <v>49902</v>
      </c>
      <c r="B201" s="278">
        <v>6.7187499999999997E-2</v>
      </c>
      <c r="C201" s="40">
        <v>4.4999999999999998E-2</v>
      </c>
      <c r="D201" s="269">
        <v>4.9583333333333333E-2</v>
      </c>
    </row>
    <row r="202" spans="1:4" x14ac:dyDescent="0.25">
      <c r="A202" s="272">
        <v>49933</v>
      </c>
      <c r="B202" s="278">
        <v>6.7187499999999997E-2</v>
      </c>
      <c r="C202" s="40">
        <v>4.4999999999999998E-2</v>
      </c>
      <c r="D202" s="269">
        <v>4.9583333333333333E-2</v>
      </c>
    </row>
    <row r="203" spans="1:4" x14ac:dyDescent="0.25">
      <c r="A203" s="272">
        <v>49963</v>
      </c>
      <c r="B203" s="278">
        <v>6.7187499999999997E-2</v>
      </c>
      <c r="C203" s="40">
        <v>4.4999999999999998E-2</v>
      </c>
      <c r="D203" s="269">
        <v>4.9583333333333333E-2</v>
      </c>
    </row>
    <row r="204" spans="1:4" x14ac:dyDescent="0.25">
      <c r="A204" s="272">
        <v>49994</v>
      </c>
      <c r="B204" s="278">
        <v>6.7187499999999997E-2</v>
      </c>
      <c r="C204" s="40">
        <v>4.4999999999999998E-2</v>
      </c>
      <c r="D204" s="269">
        <v>4.9583333333333333E-2</v>
      </c>
    </row>
    <row r="205" spans="1:4" x14ac:dyDescent="0.25">
      <c r="A205" s="272">
        <v>50024</v>
      </c>
      <c r="B205" s="278">
        <v>6.7187499999999997E-2</v>
      </c>
      <c r="C205" s="40">
        <v>4.4999999999999998E-2</v>
      </c>
      <c r="D205" s="269">
        <v>4.9583333333333333E-2</v>
      </c>
    </row>
    <row r="206" spans="1:4" x14ac:dyDescent="0.25">
      <c r="A206" s="272">
        <v>50055</v>
      </c>
      <c r="B206" s="278">
        <v>6.7187499999999997E-2</v>
      </c>
      <c r="C206" s="40">
        <v>4.4999999999999998E-2</v>
      </c>
      <c r="D206" s="269">
        <v>4.9583333333333333E-2</v>
      </c>
    </row>
    <row r="207" spans="1:4" x14ac:dyDescent="0.25">
      <c r="A207" s="272">
        <v>50086</v>
      </c>
      <c r="B207" s="278">
        <v>6.7187499999999997E-2</v>
      </c>
      <c r="C207" s="40">
        <v>4.4999999999999998E-2</v>
      </c>
      <c r="D207" s="269">
        <v>4.9583333333333333E-2</v>
      </c>
    </row>
    <row r="208" spans="1:4" x14ac:dyDescent="0.25">
      <c r="A208" s="272">
        <v>50114</v>
      </c>
      <c r="B208" s="278">
        <v>6.7187499999999997E-2</v>
      </c>
      <c r="C208" s="40">
        <v>4.4999999999999998E-2</v>
      </c>
      <c r="D208" s="269">
        <v>4.9583333333333333E-2</v>
      </c>
    </row>
    <row r="209" spans="1:4" x14ac:dyDescent="0.25">
      <c r="A209" s="272">
        <v>50145</v>
      </c>
      <c r="B209" s="278">
        <v>6.7187499999999997E-2</v>
      </c>
      <c r="C209" s="40">
        <v>4.4999999999999998E-2</v>
      </c>
      <c r="D209" s="269">
        <v>4.9583333333333333E-2</v>
      </c>
    </row>
    <row r="210" spans="1:4" x14ac:dyDescent="0.25">
      <c r="A210" s="272">
        <v>50175</v>
      </c>
      <c r="B210" s="278">
        <v>6.7187499999999997E-2</v>
      </c>
      <c r="C210" s="40">
        <v>4.7083333333333331E-2</v>
      </c>
      <c r="D210" s="269">
        <v>4.9583333333333333E-2</v>
      </c>
    </row>
    <row r="211" spans="1:4" x14ac:dyDescent="0.25">
      <c r="A211" s="272">
        <v>50206</v>
      </c>
      <c r="B211" s="278">
        <v>6.7187499999999997E-2</v>
      </c>
      <c r="C211" s="40">
        <v>4.7083333333333331E-2</v>
      </c>
      <c r="D211" s="269">
        <v>4.9583333333333333E-2</v>
      </c>
    </row>
    <row r="212" spans="1:4" x14ac:dyDescent="0.25">
      <c r="A212" s="272">
        <v>50236</v>
      </c>
      <c r="B212" s="278">
        <v>6.7187499999999997E-2</v>
      </c>
      <c r="C212" s="40">
        <v>4.7083333333333331E-2</v>
      </c>
      <c r="D212" s="269">
        <v>4.9583333333333333E-2</v>
      </c>
    </row>
    <row r="213" spans="1:4" x14ac:dyDescent="0.25">
      <c r="A213" s="272">
        <v>50267</v>
      </c>
      <c r="B213" s="278">
        <v>6.7187499999999997E-2</v>
      </c>
      <c r="C213" s="40">
        <v>4.7083333333333331E-2</v>
      </c>
      <c r="D213" s="269">
        <v>4.9583333333333333E-2</v>
      </c>
    </row>
    <row r="214" spans="1:4" x14ac:dyDescent="0.25">
      <c r="A214" s="272">
        <v>50298</v>
      </c>
      <c r="B214" s="278">
        <v>6.7187499999999997E-2</v>
      </c>
      <c r="C214" s="40">
        <v>4.7083333333333331E-2</v>
      </c>
      <c r="D214" s="269">
        <v>4.9583333333333333E-2</v>
      </c>
    </row>
    <row r="215" spans="1:4" x14ac:dyDescent="0.25">
      <c r="A215" s="272">
        <v>50328</v>
      </c>
      <c r="B215" s="278">
        <v>6.7187499999999997E-2</v>
      </c>
      <c r="C215" s="40">
        <v>4.7083333333333331E-2</v>
      </c>
      <c r="D215" s="269">
        <v>4.9583333333333333E-2</v>
      </c>
    </row>
    <row r="216" spans="1:4" x14ac:dyDescent="0.25">
      <c r="A216" s="272">
        <v>50359</v>
      </c>
      <c r="B216" s="278">
        <v>6.7187499999999997E-2</v>
      </c>
      <c r="C216" s="40">
        <v>4.7083333333333331E-2</v>
      </c>
      <c r="D216" s="269">
        <v>4.9583333333333333E-2</v>
      </c>
    </row>
    <row r="217" spans="1:4" x14ac:dyDescent="0.25">
      <c r="A217" s="272">
        <v>50389</v>
      </c>
      <c r="B217" s="278">
        <v>6.7187499999999997E-2</v>
      </c>
      <c r="C217" s="40">
        <v>4.7083333333333331E-2</v>
      </c>
      <c r="D217" s="269">
        <v>4.9583333333333333E-2</v>
      </c>
    </row>
    <row r="218" spans="1:4" x14ac:dyDescent="0.25">
      <c r="A218" s="272">
        <v>50420</v>
      </c>
      <c r="B218" s="278">
        <v>6.7187499999999997E-2</v>
      </c>
      <c r="C218" s="40">
        <v>4.7083333333333331E-2</v>
      </c>
      <c r="D218" s="269">
        <v>4.9583333333333333E-2</v>
      </c>
    </row>
    <row r="219" spans="1:4" x14ac:dyDescent="0.25">
      <c r="A219" s="272">
        <v>50451</v>
      </c>
      <c r="B219" s="278">
        <v>6.7187499999999997E-2</v>
      </c>
      <c r="C219" s="40">
        <v>4.7083333333333331E-2</v>
      </c>
      <c r="D219" s="269">
        <v>4.9583333333333333E-2</v>
      </c>
    </row>
    <row r="220" spans="1:4" x14ac:dyDescent="0.25">
      <c r="A220" s="272">
        <v>50479</v>
      </c>
      <c r="B220" s="278">
        <v>6.7187499999999997E-2</v>
      </c>
      <c r="C220" s="40">
        <v>4.7083333333333331E-2</v>
      </c>
      <c r="D220" s="269">
        <v>4.9583333333333333E-2</v>
      </c>
    </row>
    <row r="221" spans="1:4" x14ac:dyDescent="0.25">
      <c r="A221" s="272">
        <v>50510</v>
      </c>
      <c r="B221" s="278">
        <v>6.7187499999999997E-2</v>
      </c>
      <c r="C221" s="40">
        <v>4.7083333333333331E-2</v>
      </c>
      <c r="D221" s="269">
        <v>4.9583333333333333E-2</v>
      </c>
    </row>
    <row r="222" spans="1:4" x14ac:dyDescent="0.25">
      <c r="A222" s="272">
        <v>50540</v>
      </c>
      <c r="B222" s="278">
        <v>6.7187499999999997E-2</v>
      </c>
      <c r="C222" s="40">
        <v>4.7083333333333331E-2</v>
      </c>
      <c r="D222" s="269">
        <v>4.9583333333333333E-2</v>
      </c>
    </row>
    <row r="223" spans="1:4" x14ac:dyDescent="0.25">
      <c r="A223" s="272">
        <v>50571</v>
      </c>
      <c r="B223" s="278">
        <v>6.7187499999999997E-2</v>
      </c>
      <c r="C223" s="40">
        <v>4.7083333333333331E-2</v>
      </c>
      <c r="D223" s="269">
        <v>4.9583333333333333E-2</v>
      </c>
    </row>
    <row r="224" spans="1:4" x14ac:dyDescent="0.25">
      <c r="A224" s="272">
        <v>50601</v>
      </c>
      <c r="B224" s="278">
        <v>6.7187499999999997E-2</v>
      </c>
      <c r="C224" s="40">
        <v>4.7083333333333331E-2</v>
      </c>
      <c r="D224" s="269">
        <v>4.9583333333333333E-2</v>
      </c>
    </row>
    <row r="225" spans="1:4" x14ac:dyDescent="0.25">
      <c r="A225" s="272">
        <v>50632</v>
      </c>
      <c r="B225" s="278">
        <v>6.7187499999999997E-2</v>
      </c>
      <c r="C225" s="40">
        <v>4.7083333333333331E-2</v>
      </c>
      <c r="D225" s="269">
        <v>4.9583333333333333E-2</v>
      </c>
    </row>
    <row r="226" spans="1:4" x14ac:dyDescent="0.25">
      <c r="A226" s="272">
        <v>50663</v>
      </c>
      <c r="B226" s="278">
        <v>6.7187499999999997E-2</v>
      </c>
      <c r="C226" s="40">
        <v>4.7083333333333331E-2</v>
      </c>
      <c r="D226" s="269">
        <v>4.9583333333333333E-2</v>
      </c>
    </row>
    <row r="227" spans="1:4" x14ac:dyDescent="0.25">
      <c r="A227" s="272">
        <v>50693</v>
      </c>
      <c r="B227" s="278">
        <v>6.7187499999999997E-2</v>
      </c>
      <c r="C227" s="40">
        <v>4.7083333333333331E-2</v>
      </c>
      <c r="D227" s="269">
        <v>4.9583333333333333E-2</v>
      </c>
    </row>
    <row r="228" spans="1:4" x14ac:dyDescent="0.25">
      <c r="A228" s="272">
        <v>50724</v>
      </c>
      <c r="B228" s="278">
        <v>6.7187499999999997E-2</v>
      </c>
      <c r="C228" s="40">
        <v>4.7083333333333331E-2</v>
      </c>
      <c r="D228" s="269">
        <v>4.9583333333333333E-2</v>
      </c>
    </row>
    <row r="229" spans="1:4" x14ac:dyDescent="0.25">
      <c r="A229" s="272">
        <v>50754</v>
      </c>
      <c r="B229" s="278">
        <v>6.7187499999999997E-2</v>
      </c>
      <c r="C229" s="40">
        <v>4.7083333333333331E-2</v>
      </c>
      <c r="D229" s="269">
        <v>4.9583333333333333E-2</v>
      </c>
    </row>
    <row r="230" spans="1:4" x14ac:dyDescent="0.25">
      <c r="A230" s="272">
        <v>50785</v>
      </c>
      <c r="B230" s="278">
        <v>7.2083333333333333E-2</v>
      </c>
      <c r="C230" s="40">
        <v>4.7083333333333331E-2</v>
      </c>
      <c r="D230" s="269">
        <v>4.9375000000000002E-2</v>
      </c>
    </row>
    <row r="231" spans="1:4" x14ac:dyDescent="0.25">
      <c r="A231" s="272">
        <v>50816</v>
      </c>
      <c r="B231" s="278">
        <v>7.2083333333333333E-2</v>
      </c>
      <c r="C231" s="40">
        <v>4.7083333333333331E-2</v>
      </c>
      <c r="D231" s="269">
        <v>4.9375000000000002E-2</v>
      </c>
    </row>
    <row r="232" spans="1:4" x14ac:dyDescent="0.25">
      <c r="A232" s="272">
        <v>50844</v>
      </c>
      <c r="B232" s="278">
        <v>7.2083333333333333E-2</v>
      </c>
      <c r="C232" s="40">
        <v>4.7083333333333331E-2</v>
      </c>
      <c r="D232" s="269">
        <v>4.9375000000000002E-2</v>
      </c>
    </row>
    <row r="233" spans="1:4" x14ac:dyDescent="0.25">
      <c r="A233" s="272">
        <v>50875</v>
      </c>
      <c r="B233" s="278">
        <v>7.2083333333333333E-2</v>
      </c>
      <c r="C233" s="40">
        <v>4.7083333333333331E-2</v>
      </c>
      <c r="D233" s="269">
        <v>4.9375000000000002E-2</v>
      </c>
    </row>
    <row r="234" spans="1:4" x14ac:dyDescent="0.25">
      <c r="A234" s="272">
        <v>50905</v>
      </c>
      <c r="B234" s="278">
        <v>7.2083333333333333E-2</v>
      </c>
      <c r="C234" s="40">
        <v>4.7083333333333331E-2</v>
      </c>
      <c r="D234" s="269">
        <v>4.9375000000000002E-2</v>
      </c>
    </row>
    <row r="235" spans="1:4" x14ac:dyDescent="0.25">
      <c r="A235" s="272">
        <v>50936</v>
      </c>
      <c r="B235" s="278">
        <v>7.2083333333333333E-2</v>
      </c>
      <c r="C235" s="40">
        <v>4.7083333333333331E-2</v>
      </c>
      <c r="D235" s="269">
        <v>4.9375000000000002E-2</v>
      </c>
    </row>
    <row r="236" spans="1:4" x14ac:dyDescent="0.25">
      <c r="A236" s="272">
        <v>50966</v>
      </c>
      <c r="B236" s="278">
        <v>7.2083333333333333E-2</v>
      </c>
      <c r="C236" s="40">
        <v>4.7083333333333331E-2</v>
      </c>
      <c r="D236" s="269">
        <v>4.9375000000000002E-2</v>
      </c>
    </row>
    <row r="237" spans="1:4" x14ac:dyDescent="0.25">
      <c r="A237" s="272">
        <v>50997</v>
      </c>
      <c r="B237" s="278">
        <v>7.2083333333333333E-2</v>
      </c>
      <c r="C237" s="40">
        <v>4.7083333333333331E-2</v>
      </c>
      <c r="D237" s="269">
        <v>4.9375000000000002E-2</v>
      </c>
    </row>
    <row r="238" spans="1:4" x14ac:dyDescent="0.25">
      <c r="A238" s="272">
        <v>51028</v>
      </c>
      <c r="B238" s="278">
        <v>7.2083333333333333E-2</v>
      </c>
      <c r="C238" s="40">
        <v>4.7083333333333331E-2</v>
      </c>
      <c r="D238" s="269">
        <v>4.9375000000000002E-2</v>
      </c>
    </row>
    <row r="239" spans="1:4" x14ac:dyDescent="0.25">
      <c r="A239" s="272">
        <v>51058</v>
      </c>
      <c r="B239" s="278">
        <v>7.2083333333333333E-2</v>
      </c>
      <c r="C239" s="40">
        <v>4.7083333333333331E-2</v>
      </c>
      <c r="D239" s="269">
        <v>4.9375000000000002E-2</v>
      </c>
    </row>
    <row r="240" spans="1:4" x14ac:dyDescent="0.25">
      <c r="A240" s="272">
        <v>51089</v>
      </c>
      <c r="B240" s="278">
        <v>7.2083333333333333E-2</v>
      </c>
      <c r="C240" s="40">
        <v>4.7083333333333331E-2</v>
      </c>
      <c r="D240" s="269">
        <v>4.9375000000000002E-2</v>
      </c>
    </row>
    <row r="241" spans="1:4" x14ac:dyDescent="0.25">
      <c r="A241" s="272">
        <v>51119</v>
      </c>
      <c r="B241" s="278">
        <v>7.2083333333333333E-2</v>
      </c>
      <c r="C241" s="40">
        <v>4.7083333333333331E-2</v>
      </c>
      <c r="D241" s="269">
        <v>4.9375000000000002E-2</v>
      </c>
    </row>
    <row r="242" spans="1:4" x14ac:dyDescent="0.25">
      <c r="A242" s="272">
        <v>51150</v>
      </c>
      <c r="B242" s="278">
        <v>7.2083333333333333E-2</v>
      </c>
      <c r="C242" s="40">
        <v>4.7083333333333331E-2</v>
      </c>
      <c r="D242" s="269">
        <v>4.9375000000000002E-2</v>
      </c>
    </row>
    <row r="243" spans="1:4" x14ac:dyDescent="0.25">
      <c r="A243" s="272">
        <v>51181</v>
      </c>
      <c r="B243" s="278">
        <v>7.2083333333333333E-2</v>
      </c>
      <c r="C243" s="40">
        <v>4.7083333333333331E-2</v>
      </c>
      <c r="D243" s="269">
        <v>4.9375000000000002E-2</v>
      </c>
    </row>
    <row r="244" spans="1:4" x14ac:dyDescent="0.25">
      <c r="A244" s="272">
        <v>51210</v>
      </c>
      <c r="B244" s="278">
        <v>7.2083333333333333E-2</v>
      </c>
      <c r="C244" s="40">
        <v>4.7083333333333331E-2</v>
      </c>
      <c r="D244" s="269">
        <v>4.9375000000000002E-2</v>
      </c>
    </row>
    <row r="245" spans="1:4" x14ac:dyDescent="0.25">
      <c r="A245" s="272">
        <v>51241</v>
      </c>
      <c r="B245" s="278">
        <v>7.2083333333333333E-2</v>
      </c>
      <c r="C245" s="40">
        <v>4.7083333333333331E-2</v>
      </c>
      <c r="D245" s="269">
        <v>4.9375000000000002E-2</v>
      </c>
    </row>
    <row r="246" spans="1:4" x14ac:dyDescent="0.25">
      <c r="A246" s="272">
        <v>51271</v>
      </c>
      <c r="B246" s="278">
        <v>7.2083333333333333E-2</v>
      </c>
      <c r="C246" s="40">
        <v>4.8125000000000001E-2</v>
      </c>
      <c r="D246" s="269">
        <v>4.9375000000000002E-2</v>
      </c>
    </row>
    <row r="247" spans="1:4" x14ac:dyDescent="0.25">
      <c r="A247" s="272">
        <v>51302</v>
      </c>
      <c r="B247" s="278">
        <v>7.2083333333333333E-2</v>
      </c>
      <c r="C247" s="40">
        <v>4.8125000000000001E-2</v>
      </c>
      <c r="D247" s="269">
        <v>4.9375000000000002E-2</v>
      </c>
    </row>
    <row r="248" spans="1:4" x14ac:dyDescent="0.25">
      <c r="A248" s="272">
        <v>51332</v>
      </c>
      <c r="B248" s="278">
        <v>7.2083333333333333E-2</v>
      </c>
      <c r="C248" s="40">
        <v>4.8125000000000001E-2</v>
      </c>
      <c r="D248" s="269">
        <v>4.9375000000000002E-2</v>
      </c>
    </row>
    <row r="249" spans="1:4" x14ac:dyDescent="0.25">
      <c r="A249" s="272">
        <v>51363</v>
      </c>
      <c r="B249" s="278">
        <v>7.2083333333333333E-2</v>
      </c>
      <c r="C249" s="40">
        <v>4.8125000000000001E-2</v>
      </c>
      <c r="D249" s="269">
        <v>4.9375000000000002E-2</v>
      </c>
    </row>
    <row r="250" spans="1:4" x14ac:dyDescent="0.25">
      <c r="A250" s="272">
        <v>51394</v>
      </c>
      <c r="B250" s="278">
        <v>7.2083333333333333E-2</v>
      </c>
      <c r="C250" s="40">
        <v>4.8125000000000001E-2</v>
      </c>
      <c r="D250" s="269">
        <v>4.9375000000000002E-2</v>
      </c>
    </row>
    <row r="251" spans="1:4" x14ac:dyDescent="0.25">
      <c r="A251" s="272">
        <v>51424</v>
      </c>
      <c r="B251" s="278">
        <v>7.2083333333333333E-2</v>
      </c>
      <c r="C251" s="40">
        <v>4.8125000000000001E-2</v>
      </c>
      <c r="D251" s="269">
        <v>4.9375000000000002E-2</v>
      </c>
    </row>
    <row r="252" spans="1:4" x14ac:dyDescent="0.25">
      <c r="A252" s="272">
        <v>51455</v>
      </c>
      <c r="B252" s="278">
        <v>7.2083333333333333E-2</v>
      </c>
      <c r="C252" s="40">
        <v>4.8125000000000001E-2</v>
      </c>
      <c r="D252" s="269">
        <v>4.9375000000000002E-2</v>
      </c>
    </row>
    <row r="253" spans="1:4" x14ac:dyDescent="0.25">
      <c r="A253" s="272">
        <v>51485</v>
      </c>
      <c r="B253" s="278">
        <v>7.2083333333333333E-2</v>
      </c>
      <c r="C253" s="40">
        <v>4.8125000000000001E-2</v>
      </c>
      <c r="D253" s="269">
        <v>4.9375000000000002E-2</v>
      </c>
    </row>
    <row r="254" spans="1:4" x14ac:dyDescent="0.25">
      <c r="A254" s="272">
        <v>51516</v>
      </c>
      <c r="B254" s="278">
        <v>7.2083333333333333E-2</v>
      </c>
      <c r="C254" s="40">
        <v>4.8125000000000001E-2</v>
      </c>
      <c r="D254" s="269">
        <v>4.9375000000000002E-2</v>
      </c>
    </row>
    <row r="255" spans="1:4" x14ac:dyDescent="0.25">
      <c r="A255" s="272">
        <v>51547</v>
      </c>
      <c r="B255" s="278">
        <v>7.2083333333333333E-2</v>
      </c>
      <c r="C255" s="40">
        <v>4.8125000000000001E-2</v>
      </c>
      <c r="D255" s="269">
        <v>4.9375000000000002E-2</v>
      </c>
    </row>
    <row r="256" spans="1:4" x14ac:dyDescent="0.25">
      <c r="A256" s="272">
        <v>51575</v>
      </c>
      <c r="B256" s="278">
        <v>7.2083333333333333E-2</v>
      </c>
      <c r="C256" s="40">
        <v>4.8125000000000001E-2</v>
      </c>
      <c r="D256" s="269">
        <v>4.9375000000000002E-2</v>
      </c>
    </row>
    <row r="257" spans="1:4" x14ac:dyDescent="0.25">
      <c r="A257" s="272">
        <v>51606</v>
      </c>
      <c r="B257" s="278">
        <v>7.2083333333333333E-2</v>
      </c>
      <c r="C257" s="40">
        <v>4.8125000000000001E-2</v>
      </c>
      <c r="D257" s="269">
        <v>4.9375000000000002E-2</v>
      </c>
    </row>
    <row r="258" spans="1:4" x14ac:dyDescent="0.25">
      <c r="A258" s="272">
        <v>51636</v>
      </c>
      <c r="B258" s="278">
        <v>7.2083333333333333E-2</v>
      </c>
      <c r="C258" s="40">
        <v>4.8125000000000001E-2</v>
      </c>
      <c r="D258" s="269">
        <v>4.9375000000000002E-2</v>
      </c>
    </row>
    <row r="259" spans="1:4" x14ac:dyDescent="0.25">
      <c r="A259" s="272">
        <v>51667</v>
      </c>
      <c r="B259" s="278">
        <v>7.2083333333333333E-2</v>
      </c>
      <c r="C259" s="40">
        <v>4.8125000000000001E-2</v>
      </c>
      <c r="D259" s="269">
        <v>4.9375000000000002E-2</v>
      </c>
    </row>
    <row r="260" spans="1:4" x14ac:dyDescent="0.25">
      <c r="A260" s="272">
        <v>51697</v>
      </c>
      <c r="B260" s="278">
        <v>7.2083333333333333E-2</v>
      </c>
      <c r="C260" s="40">
        <v>4.8125000000000001E-2</v>
      </c>
      <c r="D260" s="269">
        <v>4.9375000000000002E-2</v>
      </c>
    </row>
    <row r="261" spans="1:4" x14ac:dyDescent="0.25">
      <c r="A261" s="272">
        <v>51728</v>
      </c>
      <c r="B261" s="278">
        <v>7.2083333333333333E-2</v>
      </c>
      <c r="C261" s="40">
        <v>4.8125000000000001E-2</v>
      </c>
      <c r="D261" s="269">
        <v>4.9375000000000002E-2</v>
      </c>
    </row>
    <row r="262" spans="1:4" x14ac:dyDescent="0.25">
      <c r="A262" s="272">
        <v>51759</v>
      </c>
      <c r="B262" s="278">
        <v>7.2083333333333333E-2</v>
      </c>
      <c r="C262" s="40">
        <v>4.8125000000000001E-2</v>
      </c>
      <c r="D262" s="269">
        <v>4.9375000000000002E-2</v>
      </c>
    </row>
    <row r="263" spans="1:4" x14ac:dyDescent="0.25">
      <c r="A263" s="272">
        <v>51789</v>
      </c>
      <c r="B263" s="278">
        <v>7.2083333333333333E-2</v>
      </c>
      <c r="C263" s="40">
        <v>4.8125000000000001E-2</v>
      </c>
      <c r="D263" s="269">
        <v>4.9375000000000002E-2</v>
      </c>
    </row>
    <row r="264" spans="1:4" x14ac:dyDescent="0.25">
      <c r="A264" s="272">
        <v>51820</v>
      </c>
      <c r="B264" s="278">
        <v>7.2083333333333333E-2</v>
      </c>
      <c r="C264" s="40">
        <v>4.8125000000000001E-2</v>
      </c>
      <c r="D264" s="269">
        <v>4.9375000000000002E-2</v>
      </c>
    </row>
    <row r="265" spans="1:4" x14ac:dyDescent="0.25">
      <c r="A265" s="272">
        <v>51850</v>
      </c>
      <c r="B265" s="278">
        <v>7.2083333333333333E-2</v>
      </c>
      <c r="C265" s="40">
        <v>4.8125000000000001E-2</v>
      </c>
      <c r="D265" s="269">
        <v>4.9375000000000002E-2</v>
      </c>
    </row>
    <row r="266" spans="1:4" x14ac:dyDescent="0.25">
      <c r="A266" s="272">
        <v>51881</v>
      </c>
      <c r="B266" s="278">
        <v>7.2083333333333333E-2</v>
      </c>
      <c r="C266" s="40">
        <v>4.8125000000000001E-2</v>
      </c>
      <c r="D266" s="269">
        <v>0.05</v>
      </c>
    </row>
    <row r="267" spans="1:4" x14ac:dyDescent="0.25">
      <c r="A267" s="272">
        <v>51912</v>
      </c>
      <c r="B267" s="278">
        <v>7.2083333333333333E-2</v>
      </c>
      <c r="C267" s="40">
        <v>4.8125000000000001E-2</v>
      </c>
      <c r="D267" s="269">
        <v>0.05</v>
      </c>
    </row>
    <row r="268" spans="1:4" x14ac:dyDescent="0.25">
      <c r="A268" s="272">
        <v>51940</v>
      </c>
      <c r="B268" s="278">
        <v>7.2083333333333333E-2</v>
      </c>
      <c r="C268" s="40">
        <v>4.8125000000000001E-2</v>
      </c>
      <c r="D268" s="269">
        <v>0.05</v>
      </c>
    </row>
    <row r="269" spans="1:4" x14ac:dyDescent="0.25">
      <c r="A269" s="272">
        <v>51971</v>
      </c>
      <c r="B269" s="278">
        <v>7.2083333333333333E-2</v>
      </c>
      <c r="C269" s="40">
        <v>4.8125000000000001E-2</v>
      </c>
      <c r="D269" s="269">
        <v>0.05</v>
      </c>
    </row>
    <row r="270" spans="1:4" x14ac:dyDescent="0.25">
      <c r="A270" s="272">
        <v>52001</v>
      </c>
      <c r="B270" s="278">
        <v>7.2083333333333333E-2</v>
      </c>
      <c r="C270" s="40">
        <v>4.8125000000000001E-2</v>
      </c>
      <c r="D270" s="269">
        <v>0.05</v>
      </c>
    </row>
    <row r="271" spans="1:4" x14ac:dyDescent="0.25">
      <c r="A271" s="272">
        <v>52032</v>
      </c>
      <c r="B271" s="278">
        <v>7.2083333333333333E-2</v>
      </c>
      <c r="C271" s="40">
        <v>4.8125000000000001E-2</v>
      </c>
      <c r="D271" s="269">
        <v>0.05</v>
      </c>
    </row>
    <row r="272" spans="1:4" x14ac:dyDescent="0.25">
      <c r="A272" s="272">
        <v>52062</v>
      </c>
      <c r="B272" s="278">
        <v>7.2083333333333333E-2</v>
      </c>
      <c r="C272" s="40">
        <v>4.8125000000000001E-2</v>
      </c>
      <c r="D272" s="269">
        <v>0.05</v>
      </c>
    </row>
    <row r="273" spans="1:4" x14ac:dyDescent="0.25">
      <c r="A273" s="272">
        <v>52093</v>
      </c>
      <c r="B273" s="278">
        <v>7.2083333333333333E-2</v>
      </c>
      <c r="C273" s="40">
        <v>4.8125000000000001E-2</v>
      </c>
      <c r="D273" s="269">
        <v>0.05</v>
      </c>
    </row>
    <row r="274" spans="1:4" x14ac:dyDescent="0.25">
      <c r="A274" s="272">
        <v>52124</v>
      </c>
      <c r="B274" s="278">
        <v>7.2083333333333333E-2</v>
      </c>
      <c r="C274" s="40">
        <v>4.8125000000000001E-2</v>
      </c>
      <c r="D274" s="269">
        <v>0.05</v>
      </c>
    </row>
    <row r="275" spans="1:4" x14ac:dyDescent="0.25">
      <c r="A275" s="272">
        <v>52154</v>
      </c>
      <c r="B275" s="278">
        <v>7.2083333333333333E-2</v>
      </c>
      <c r="C275" s="40">
        <v>4.8125000000000001E-2</v>
      </c>
      <c r="D275" s="269">
        <v>0.05</v>
      </c>
    </row>
    <row r="276" spans="1:4" x14ac:dyDescent="0.25">
      <c r="A276" s="272">
        <v>52185</v>
      </c>
      <c r="B276" s="278">
        <v>7.2083333333333333E-2</v>
      </c>
      <c r="C276" s="40">
        <v>4.8125000000000001E-2</v>
      </c>
      <c r="D276" s="269">
        <v>0.05</v>
      </c>
    </row>
    <row r="277" spans="1:4" x14ac:dyDescent="0.25">
      <c r="A277" s="272">
        <v>52215</v>
      </c>
      <c r="B277" s="278">
        <v>7.2083333333333333E-2</v>
      </c>
      <c r="C277" s="40">
        <v>4.8125000000000001E-2</v>
      </c>
      <c r="D277" s="269">
        <v>0.05</v>
      </c>
    </row>
    <row r="278" spans="1:4" x14ac:dyDescent="0.25">
      <c r="A278" s="272">
        <v>52246</v>
      </c>
      <c r="B278" s="278">
        <v>7.2083333333333333E-2</v>
      </c>
      <c r="C278" s="40">
        <v>4.8125000000000001E-2</v>
      </c>
      <c r="D278" s="269">
        <v>0.05</v>
      </c>
    </row>
    <row r="279" spans="1:4" x14ac:dyDescent="0.25">
      <c r="A279" s="272">
        <v>52277</v>
      </c>
      <c r="B279" s="278">
        <v>7.2083333333333333E-2</v>
      </c>
      <c r="C279" s="40">
        <v>4.8125000000000001E-2</v>
      </c>
      <c r="D279" s="269">
        <v>0.05</v>
      </c>
    </row>
    <row r="280" spans="1:4" x14ac:dyDescent="0.25">
      <c r="A280" s="272">
        <v>52305</v>
      </c>
      <c r="B280" s="278">
        <v>7.2083333333333333E-2</v>
      </c>
      <c r="C280" s="40">
        <v>4.8125000000000001E-2</v>
      </c>
      <c r="D280" s="269">
        <v>0.05</v>
      </c>
    </row>
    <row r="281" spans="1:4" x14ac:dyDescent="0.25">
      <c r="A281" s="272">
        <v>52336</v>
      </c>
      <c r="B281" s="278">
        <v>7.2083333333333333E-2</v>
      </c>
      <c r="C281" s="40">
        <v>4.8125000000000001E-2</v>
      </c>
      <c r="D281" s="269">
        <v>0.05</v>
      </c>
    </row>
    <row r="282" spans="1:4" x14ac:dyDescent="0.25">
      <c r="A282" s="272">
        <v>52366</v>
      </c>
      <c r="B282" s="278">
        <v>7.2083333333333333E-2</v>
      </c>
      <c r="C282" s="40">
        <v>4.8125000000000001E-2</v>
      </c>
      <c r="D282" s="269">
        <v>0.05</v>
      </c>
    </row>
    <row r="283" spans="1:4" x14ac:dyDescent="0.25">
      <c r="A283" s="272">
        <v>52397</v>
      </c>
      <c r="B283" s="278">
        <v>7.2083333333333333E-2</v>
      </c>
      <c r="C283" s="40">
        <v>4.8125000000000001E-2</v>
      </c>
      <c r="D283" s="269">
        <v>0.05</v>
      </c>
    </row>
    <row r="284" spans="1:4" x14ac:dyDescent="0.25">
      <c r="A284" s="272">
        <v>52427</v>
      </c>
      <c r="B284" s="278">
        <v>7.2083333333333333E-2</v>
      </c>
      <c r="C284" s="40">
        <v>4.8125000000000001E-2</v>
      </c>
      <c r="D284" s="269">
        <v>0.05</v>
      </c>
    </row>
    <row r="285" spans="1:4" x14ac:dyDescent="0.25">
      <c r="A285" s="272">
        <v>52458</v>
      </c>
      <c r="B285" s="278">
        <v>7.2083333333333333E-2</v>
      </c>
      <c r="C285" s="40">
        <v>4.8125000000000001E-2</v>
      </c>
      <c r="D285" s="269">
        <v>0.05</v>
      </c>
    </row>
    <row r="286" spans="1:4" x14ac:dyDescent="0.25">
      <c r="A286" s="272">
        <v>52489</v>
      </c>
      <c r="B286" s="278">
        <v>7.2083333333333333E-2</v>
      </c>
      <c r="C286" s="40">
        <v>4.8125000000000001E-2</v>
      </c>
      <c r="D286" s="269">
        <v>0.05</v>
      </c>
    </row>
    <row r="287" spans="1:4" x14ac:dyDescent="0.25">
      <c r="A287" s="272">
        <v>52519</v>
      </c>
      <c r="B287" s="278">
        <v>7.2083333333333333E-2</v>
      </c>
      <c r="C287" s="40">
        <v>4.8125000000000001E-2</v>
      </c>
      <c r="D287" s="269">
        <v>0.05</v>
      </c>
    </row>
    <row r="288" spans="1:4" x14ac:dyDescent="0.25">
      <c r="A288" s="272">
        <v>52550</v>
      </c>
      <c r="B288" s="278">
        <v>7.2083333333333333E-2</v>
      </c>
      <c r="C288" s="40">
        <v>4.8125000000000001E-2</v>
      </c>
      <c r="D288" s="269">
        <v>0.05</v>
      </c>
    </row>
    <row r="289" spans="1:4" x14ac:dyDescent="0.25">
      <c r="A289" s="272">
        <v>52580</v>
      </c>
      <c r="B289" s="278">
        <v>7.2083333333333333E-2</v>
      </c>
      <c r="C289" s="40">
        <v>4.8125000000000001E-2</v>
      </c>
      <c r="D289" s="269">
        <v>0.05</v>
      </c>
    </row>
    <row r="290" spans="1:4" x14ac:dyDescent="0.25">
      <c r="A290" s="272">
        <v>52611</v>
      </c>
      <c r="B290" s="278">
        <v>7.2083333333333333E-2</v>
      </c>
      <c r="C290" s="40">
        <v>4.8125000000000001E-2</v>
      </c>
      <c r="D290" s="269">
        <v>0.05</v>
      </c>
    </row>
    <row r="291" spans="1:4" x14ac:dyDescent="0.25">
      <c r="A291" s="272">
        <v>52642</v>
      </c>
      <c r="B291" s="278">
        <v>7.2083333333333333E-2</v>
      </c>
      <c r="C291" s="40">
        <v>4.8125000000000001E-2</v>
      </c>
      <c r="D291" s="269">
        <v>0.05</v>
      </c>
    </row>
    <row r="292" spans="1:4" x14ac:dyDescent="0.25">
      <c r="A292" s="272">
        <v>52671</v>
      </c>
      <c r="B292" s="278">
        <v>7.2083333333333333E-2</v>
      </c>
      <c r="C292" s="40">
        <v>4.8125000000000001E-2</v>
      </c>
      <c r="D292" s="269">
        <v>0.05</v>
      </c>
    </row>
    <row r="293" spans="1:4" x14ac:dyDescent="0.25">
      <c r="A293" s="272">
        <v>52702</v>
      </c>
      <c r="B293" s="278">
        <v>7.2083333333333333E-2</v>
      </c>
      <c r="C293" s="40">
        <v>4.8125000000000001E-2</v>
      </c>
      <c r="D293" s="269">
        <v>0.05</v>
      </c>
    </row>
    <row r="294" spans="1:4" x14ac:dyDescent="0.25">
      <c r="A294" s="272">
        <v>52732</v>
      </c>
      <c r="B294" s="278">
        <v>7.2083333333333333E-2</v>
      </c>
      <c r="C294" s="40">
        <v>4.7500000000000001E-2</v>
      </c>
      <c r="D294" s="269">
        <v>0.05</v>
      </c>
    </row>
    <row r="295" spans="1:4" x14ac:dyDescent="0.25">
      <c r="A295" s="272">
        <v>52763</v>
      </c>
      <c r="B295" s="278">
        <v>7.2083333333333333E-2</v>
      </c>
      <c r="C295" s="40">
        <v>4.7500000000000001E-2</v>
      </c>
      <c r="D295" s="269">
        <v>0.05</v>
      </c>
    </row>
    <row r="296" spans="1:4" x14ac:dyDescent="0.25">
      <c r="A296" s="272">
        <v>52793</v>
      </c>
      <c r="B296" s="278">
        <v>7.2083333333333333E-2</v>
      </c>
      <c r="C296" s="40">
        <v>4.7500000000000001E-2</v>
      </c>
      <c r="D296" s="269">
        <v>0.05</v>
      </c>
    </row>
    <row r="297" spans="1:4" x14ac:dyDescent="0.25">
      <c r="A297" s="272">
        <v>52824</v>
      </c>
      <c r="B297" s="278">
        <v>7.2083333333333333E-2</v>
      </c>
      <c r="C297" s="40">
        <v>4.7500000000000001E-2</v>
      </c>
      <c r="D297" s="269">
        <v>0.05</v>
      </c>
    </row>
    <row r="298" spans="1:4" x14ac:dyDescent="0.25">
      <c r="A298" s="272">
        <v>52855</v>
      </c>
      <c r="B298" s="278">
        <v>7.2083333333333333E-2</v>
      </c>
      <c r="C298" s="40">
        <v>4.7500000000000001E-2</v>
      </c>
      <c r="D298" s="269">
        <v>0.05</v>
      </c>
    </row>
    <row r="299" spans="1:4" x14ac:dyDescent="0.25">
      <c r="A299" s="272">
        <v>52885</v>
      </c>
      <c r="B299" s="278">
        <v>7.2083333333333333E-2</v>
      </c>
      <c r="C299" s="40">
        <v>4.7500000000000001E-2</v>
      </c>
      <c r="D299" s="269">
        <v>0.05</v>
      </c>
    </row>
    <row r="300" spans="1:4" x14ac:dyDescent="0.25">
      <c r="A300" s="272">
        <v>52916</v>
      </c>
      <c r="B300" s="278">
        <v>7.2083333333333333E-2</v>
      </c>
      <c r="C300" s="40">
        <v>4.7500000000000001E-2</v>
      </c>
      <c r="D300" s="269">
        <v>0.05</v>
      </c>
    </row>
    <row r="301" spans="1:4" x14ac:dyDescent="0.25">
      <c r="A301" s="272">
        <v>52946</v>
      </c>
      <c r="B301" s="278">
        <v>7.2083333333333333E-2</v>
      </c>
      <c r="C301" s="40">
        <v>4.7500000000000001E-2</v>
      </c>
      <c r="D301" s="269">
        <v>0.05</v>
      </c>
    </row>
    <row r="302" spans="1:4" x14ac:dyDescent="0.25">
      <c r="A302" s="272">
        <v>52977</v>
      </c>
      <c r="B302" s="278">
        <v>7.2083333333333333E-2</v>
      </c>
      <c r="C302" s="40">
        <v>4.7500000000000001E-2</v>
      </c>
      <c r="D302" s="269">
        <v>0.05</v>
      </c>
    </row>
    <row r="303" spans="1:4" x14ac:dyDescent="0.25">
      <c r="A303" s="272">
        <v>53008</v>
      </c>
      <c r="B303" s="278">
        <v>7.2083333333333333E-2</v>
      </c>
      <c r="C303" s="40">
        <v>4.7500000000000001E-2</v>
      </c>
      <c r="D303" s="269">
        <v>0.05</v>
      </c>
    </row>
    <row r="304" spans="1:4" x14ac:dyDescent="0.25">
      <c r="A304" s="272">
        <v>53036</v>
      </c>
      <c r="B304" s="278">
        <v>7.2083333333333333E-2</v>
      </c>
      <c r="C304" s="40">
        <v>4.7500000000000001E-2</v>
      </c>
      <c r="D304" s="269">
        <v>0.05</v>
      </c>
    </row>
    <row r="305" spans="1:4" x14ac:dyDescent="0.25">
      <c r="A305" s="272">
        <v>53067</v>
      </c>
      <c r="B305" s="278">
        <v>7.2083333333333333E-2</v>
      </c>
      <c r="C305" s="40">
        <v>4.7500000000000001E-2</v>
      </c>
      <c r="D305" s="269">
        <v>0.05</v>
      </c>
    </row>
    <row r="306" spans="1:4" x14ac:dyDescent="0.25">
      <c r="A306" s="272">
        <v>53097</v>
      </c>
      <c r="B306" s="278">
        <v>7.2083333333333333E-2</v>
      </c>
      <c r="C306" s="40">
        <v>4.7500000000000001E-2</v>
      </c>
      <c r="D306" s="269">
        <v>0.05</v>
      </c>
    </row>
    <row r="307" spans="1:4" x14ac:dyDescent="0.25">
      <c r="A307" s="272">
        <v>53128</v>
      </c>
      <c r="B307" s="278">
        <v>7.2083333333333333E-2</v>
      </c>
      <c r="C307" s="40">
        <v>4.7500000000000001E-2</v>
      </c>
      <c r="D307" s="269">
        <v>0.05</v>
      </c>
    </row>
    <row r="308" spans="1:4" x14ac:dyDescent="0.25">
      <c r="A308" s="272">
        <v>53158</v>
      </c>
      <c r="B308" s="278">
        <v>7.2083333333333333E-2</v>
      </c>
      <c r="C308" s="40">
        <v>4.7500000000000001E-2</v>
      </c>
      <c r="D308" s="269">
        <v>0.05</v>
      </c>
    </row>
    <row r="309" spans="1:4" x14ac:dyDescent="0.25">
      <c r="A309" s="272">
        <v>53189</v>
      </c>
      <c r="B309" s="278">
        <v>7.2083333333333333E-2</v>
      </c>
      <c r="C309" s="40">
        <v>4.7500000000000001E-2</v>
      </c>
      <c r="D309" s="269">
        <v>0.05</v>
      </c>
    </row>
    <row r="310" spans="1:4" x14ac:dyDescent="0.25">
      <c r="A310" s="272">
        <v>53220</v>
      </c>
      <c r="B310" s="278">
        <v>7.2083333333333333E-2</v>
      </c>
      <c r="C310" s="40">
        <v>4.7500000000000001E-2</v>
      </c>
      <c r="D310" s="269">
        <v>0.05</v>
      </c>
    </row>
    <row r="311" spans="1:4" x14ac:dyDescent="0.25">
      <c r="A311" s="272">
        <v>53250</v>
      </c>
      <c r="B311" s="278">
        <v>7.2083333333333333E-2</v>
      </c>
      <c r="C311" s="40">
        <v>4.7500000000000001E-2</v>
      </c>
      <c r="D311" s="269">
        <v>0.05</v>
      </c>
    </row>
    <row r="312" spans="1:4" x14ac:dyDescent="0.25">
      <c r="A312" s="272">
        <v>53281</v>
      </c>
      <c r="B312" s="278">
        <v>7.2083333333333333E-2</v>
      </c>
      <c r="C312" s="40">
        <v>4.7500000000000001E-2</v>
      </c>
      <c r="D312" s="269">
        <v>0.05</v>
      </c>
    </row>
    <row r="313" spans="1:4" x14ac:dyDescent="0.25">
      <c r="A313" s="272">
        <v>53311</v>
      </c>
      <c r="B313" s="278">
        <v>7.2083333333333333E-2</v>
      </c>
      <c r="C313" s="40">
        <v>4.7500000000000001E-2</v>
      </c>
      <c r="D313" s="269">
        <v>0.05</v>
      </c>
    </row>
    <row r="314" spans="1:4" x14ac:dyDescent="0.25">
      <c r="A314" s="272">
        <v>53342</v>
      </c>
      <c r="B314" s="278">
        <v>7.2083333333333333E-2</v>
      </c>
      <c r="C314" s="40">
        <v>4.7500000000000001E-2</v>
      </c>
      <c r="D314" s="269">
        <v>0.05</v>
      </c>
    </row>
    <row r="315" spans="1:4" x14ac:dyDescent="0.25">
      <c r="A315" s="272">
        <v>53373</v>
      </c>
      <c r="B315" s="278">
        <v>7.2083333333333333E-2</v>
      </c>
      <c r="C315" s="40">
        <v>4.7500000000000001E-2</v>
      </c>
      <c r="D315" s="269">
        <v>0.05</v>
      </c>
    </row>
    <row r="316" spans="1:4" x14ac:dyDescent="0.25">
      <c r="A316" s="272">
        <v>53401</v>
      </c>
      <c r="B316" s="278">
        <v>7.2083333333333333E-2</v>
      </c>
      <c r="C316" s="40">
        <v>4.7500000000000001E-2</v>
      </c>
      <c r="D316" s="269">
        <v>0.05</v>
      </c>
    </row>
    <row r="317" spans="1:4" x14ac:dyDescent="0.25">
      <c r="A317" s="272">
        <v>53432</v>
      </c>
      <c r="B317" s="278">
        <v>7.2083333333333333E-2</v>
      </c>
      <c r="C317" s="40">
        <v>4.7500000000000001E-2</v>
      </c>
      <c r="D317" s="269">
        <v>0.05</v>
      </c>
    </row>
    <row r="318" spans="1:4" x14ac:dyDescent="0.25">
      <c r="A318" s="272">
        <v>53462</v>
      </c>
      <c r="B318" s="278">
        <v>7.0000000000000007E-2</v>
      </c>
      <c r="C318" s="40">
        <v>4.7500000000000001E-2</v>
      </c>
      <c r="D318" s="269">
        <v>0.05</v>
      </c>
    </row>
    <row r="319" spans="1:4" x14ac:dyDescent="0.25">
      <c r="A319" s="272">
        <v>53493</v>
      </c>
      <c r="B319" s="278">
        <v>7.0000000000000007E-2</v>
      </c>
      <c r="C319" s="40">
        <v>4.7500000000000001E-2</v>
      </c>
      <c r="D319" s="269">
        <v>0.05</v>
      </c>
    </row>
    <row r="320" spans="1:4" x14ac:dyDescent="0.25">
      <c r="A320" s="272">
        <v>53523</v>
      </c>
      <c r="B320" s="278">
        <v>7.0000000000000007E-2</v>
      </c>
      <c r="C320" s="40">
        <v>4.7500000000000001E-2</v>
      </c>
      <c r="D320" s="269">
        <v>0.05</v>
      </c>
    </row>
    <row r="321" spans="1:4" ht="15" customHeight="1" x14ac:dyDescent="0.25">
      <c r="A321" s="272">
        <v>53554</v>
      </c>
      <c r="B321" s="278">
        <v>7.0000000000000007E-2</v>
      </c>
      <c r="C321" s="40">
        <v>4.7500000000000001E-2</v>
      </c>
      <c r="D321" s="269"/>
    </row>
    <row r="322" spans="1:4" ht="15" customHeight="1" x14ac:dyDescent="0.25">
      <c r="A322" s="272">
        <v>53585</v>
      </c>
      <c r="B322" s="278">
        <v>7.0000000000000007E-2</v>
      </c>
      <c r="C322" s="40">
        <v>4.7500000000000001E-2</v>
      </c>
      <c r="D322" s="269"/>
    </row>
    <row r="323" spans="1:4" ht="15" customHeight="1" x14ac:dyDescent="0.25">
      <c r="A323" s="272">
        <v>53615</v>
      </c>
      <c r="B323" s="278">
        <v>7.0000000000000007E-2</v>
      </c>
      <c r="C323" s="40">
        <v>4.7500000000000001E-2</v>
      </c>
      <c r="D323" s="269"/>
    </row>
    <row r="324" spans="1:4" ht="15" customHeight="1" x14ac:dyDescent="0.25">
      <c r="A324" s="272">
        <v>53646</v>
      </c>
      <c r="B324" s="278">
        <v>7.0000000000000007E-2</v>
      </c>
      <c r="C324" s="40">
        <v>4.7500000000000001E-2</v>
      </c>
      <c r="D324" s="269"/>
    </row>
    <row r="325" spans="1:4" ht="15" customHeight="1" x14ac:dyDescent="0.25">
      <c r="A325" s="272">
        <v>53676</v>
      </c>
      <c r="B325" s="278">
        <v>7.0000000000000007E-2</v>
      </c>
      <c r="C325" s="40">
        <v>4.7500000000000001E-2</v>
      </c>
      <c r="D325" s="269"/>
    </row>
    <row r="326" spans="1:4" ht="15" customHeight="1" x14ac:dyDescent="0.25">
      <c r="A326" s="272">
        <v>53707</v>
      </c>
      <c r="B326" s="278">
        <v>7.0000000000000007E-2</v>
      </c>
      <c r="C326" s="40">
        <v>4.7500000000000001E-2</v>
      </c>
      <c r="D326" s="269"/>
    </row>
    <row r="327" spans="1:4" ht="15" customHeight="1" x14ac:dyDescent="0.25">
      <c r="A327" s="272">
        <v>53738</v>
      </c>
      <c r="B327" s="278">
        <v>7.0000000000000007E-2</v>
      </c>
      <c r="C327" s="40">
        <v>4.7500000000000001E-2</v>
      </c>
      <c r="D327" s="269"/>
    </row>
    <row r="328" spans="1:4" ht="15" customHeight="1" x14ac:dyDescent="0.25">
      <c r="A328" s="272">
        <v>53766</v>
      </c>
      <c r="B328" s="278">
        <v>7.0000000000000007E-2</v>
      </c>
      <c r="C328" s="40">
        <v>4.7500000000000001E-2</v>
      </c>
      <c r="D328" s="269"/>
    </row>
    <row r="329" spans="1:4" ht="15" customHeight="1" x14ac:dyDescent="0.25">
      <c r="A329" s="272">
        <v>53797</v>
      </c>
      <c r="B329" s="278">
        <v>7.0000000000000007E-2</v>
      </c>
      <c r="C329" s="40">
        <v>4.7500000000000001E-2</v>
      </c>
      <c r="D329" s="269"/>
    </row>
    <row r="330" spans="1:4" ht="15" customHeight="1" x14ac:dyDescent="0.25">
      <c r="A330" s="272">
        <v>53827</v>
      </c>
      <c r="B330" s="278">
        <v>7.0000000000000007E-2</v>
      </c>
      <c r="C330" s="40">
        <v>4.7500000000000001E-2</v>
      </c>
      <c r="D330" s="269"/>
    </row>
    <row r="331" spans="1:4" ht="15" customHeight="1" x14ac:dyDescent="0.25">
      <c r="A331" s="272">
        <v>53858</v>
      </c>
      <c r="B331" s="278">
        <v>7.0000000000000007E-2</v>
      </c>
      <c r="C331" s="40">
        <v>4.7500000000000001E-2</v>
      </c>
      <c r="D331" s="269"/>
    </row>
    <row r="332" spans="1:4" ht="15" customHeight="1" x14ac:dyDescent="0.25">
      <c r="A332" s="272">
        <v>53888</v>
      </c>
      <c r="B332" s="278">
        <v>7.0000000000000007E-2</v>
      </c>
      <c r="C332" s="40">
        <v>4.7500000000000001E-2</v>
      </c>
      <c r="D332" s="269"/>
    </row>
    <row r="333" spans="1:4" ht="15" customHeight="1" x14ac:dyDescent="0.25">
      <c r="A333" s="272">
        <v>53919</v>
      </c>
      <c r="B333" s="278">
        <v>7.0000000000000007E-2</v>
      </c>
      <c r="C333" s="40">
        <v>4.7500000000000001E-2</v>
      </c>
      <c r="D333" s="269"/>
    </row>
    <row r="334" spans="1:4" ht="15" customHeight="1" x14ac:dyDescent="0.25">
      <c r="A334" s="272">
        <v>53950</v>
      </c>
      <c r="B334" s="278">
        <v>7.0000000000000007E-2</v>
      </c>
      <c r="C334" s="40">
        <v>4.7500000000000001E-2</v>
      </c>
      <c r="D334" s="269"/>
    </row>
    <row r="335" spans="1:4" ht="15" customHeight="1" x14ac:dyDescent="0.25">
      <c r="A335" s="272">
        <v>53980</v>
      </c>
      <c r="B335" s="278">
        <v>7.0000000000000007E-2</v>
      </c>
      <c r="C335" s="40">
        <v>4.7500000000000001E-2</v>
      </c>
      <c r="D335" s="269"/>
    </row>
    <row r="336" spans="1:4" ht="15" customHeight="1" x14ac:dyDescent="0.25">
      <c r="A336" s="273">
        <v>54011</v>
      </c>
      <c r="B336" s="279">
        <v>7.0000000000000007E-2</v>
      </c>
      <c r="C336" s="268">
        <v>4.7500000000000001E-2</v>
      </c>
      <c r="D336" s="270"/>
    </row>
  </sheetData>
  <mergeCells count="2">
    <mergeCell ref="B4:D4"/>
    <mergeCell ref="A4:A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43EE4-E4FF-4264-B934-AF5D352BFB22}">
  <dimension ref="A1:U41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42578125" defaultRowHeight="12" x14ac:dyDescent="0.2"/>
  <cols>
    <col min="1" max="1" width="11.42578125" style="229"/>
    <col min="2" max="10" width="11.85546875" style="229" customWidth="1"/>
    <col min="11" max="11" width="3.7109375" style="229" customWidth="1"/>
    <col min="12" max="20" width="11.85546875" style="229" customWidth="1"/>
    <col min="21" max="21" width="13.85546875" style="229" customWidth="1"/>
    <col min="22" max="16384" width="11.42578125" style="229"/>
  </cols>
  <sheetData>
    <row r="1" spans="1:21" ht="15.75" x14ac:dyDescent="0.25">
      <c r="A1" s="123" t="s">
        <v>102</v>
      </c>
      <c r="B1" s="228"/>
      <c r="C1" s="228"/>
      <c r="D1" s="228"/>
      <c r="F1" s="264"/>
    </row>
    <row r="2" spans="1:21" x14ac:dyDescent="0.2">
      <c r="A2" s="230" t="s">
        <v>76</v>
      </c>
      <c r="B2" s="230"/>
      <c r="C2" s="230"/>
      <c r="D2" s="230"/>
    </row>
    <row r="3" spans="1:21" x14ac:dyDescent="0.2">
      <c r="A3" s="230"/>
      <c r="B3" s="230"/>
      <c r="C3" s="230"/>
      <c r="D3" s="230"/>
    </row>
    <row r="4" spans="1:21" ht="15" customHeight="1" x14ac:dyDescent="0.2">
      <c r="B4" s="23" t="s">
        <v>109</v>
      </c>
      <c r="C4" s="247"/>
      <c r="D4" s="247"/>
      <c r="E4" s="247"/>
      <c r="F4" s="247"/>
      <c r="G4" s="247"/>
      <c r="H4" s="247"/>
      <c r="I4" s="247"/>
      <c r="J4" s="247"/>
      <c r="K4" s="247"/>
      <c r="L4" s="23" t="s">
        <v>110</v>
      </c>
      <c r="M4" s="247"/>
      <c r="N4" s="247"/>
      <c r="O4" s="247"/>
      <c r="P4" s="247"/>
      <c r="Q4" s="247"/>
      <c r="R4" s="247"/>
      <c r="S4" s="247"/>
      <c r="T4" s="247"/>
    </row>
    <row r="5" spans="1:21" ht="6" customHeight="1" x14ac:dyDescent="0.2">
      <c r="B5" s="248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</row>
    <row r="6" spans="1:21" ht="31.5" customHeight="1" x14ac:dyDescent="0.2">
      <c r="B6" s="305" t="s">
        <v>103</v>
      </c>
      <c r="C6" s="306"/>
      <c r="D6" s="307"/>
      <c r="E6" s="305" t="s">
        <v>104</v>
      </c>
      <c r="F6" s="306"/>
      <c r="G6" s="307"/>
      <c r="H6" s="302" t="s">
        <v>105</v>
      </c>
      <c r="I6" s="303"/>
      <c r="J6" s="304"/>
      <c r="K6" s="249"/>
      <c r="L6" s="305" t="s">
        <v>112</v>
      </c>
      <c r="M6" s="306"/>
      <c r="N6" s="307"/>
      <c r="O6" s="305" t="s">
        <v>113</v>
      </c>
      <c r="P6" s="306"/>
      <c r="Q6" s="307"/>
      <c r="R6" s="302" t="s">
        <v>106</v>
      </c>
      <c r="S6" s="303"/>
      <c r="T6" s="304"/>
    </row>
    <row r="7" spans="1:21" s="232" customFormat="1" ht="31.5" customHeight="1" x14ac:dyDescent="0.2">
      <c r="A7" s="233" t="s">
        <v>77</v>
      </c>
      <c r="B7" s="234" t="s">
        <v>38</v>
      </c>
      <c r="C7" s="235" t="s">
        <v>84</v>
      </c>
      <c r="D7" s="236" t="s">
        <v>111</v>
      </c>
      <c r="E7" s="234" t="s">
        <v>38</v>
      </c>
      <c r="F7" s="235" t="s">
        <v>84</v>
      </c>
      <c r="G7" s="236" t="s">
        <v>111</v>
      </c>
      <c r="H7" s="234" t="s">
        <v>38</v>
      </c>
      <c r="I7" s="235" t="s">
        <v>84</v>
      </c>
      <c r="J7" s="236" t="s">
        <v>111</v>
      </c>
      <c r="K7" s="250"/>
      <c r="L7" s="234" t="s">
        <v>38</v>
      </c>
      <c r="M7" s="235" t="s">
        <v>84</v>
      </c>
      <c r="N7" s="236" t="s">
        <v>111</v>
      </c>
      <c r="O7" s="234" t="s">
        <v>38</v>
      </c>
      <c r="P7" s="235" t="s">
        <v>84</v>
      </c>
      <c r="Q7" s="236" t="s">
        <v>111</v>
      </c>
      <c r="R7" s="234" t="s">
        <v>38</v>
      </c>
      <c r="S7" s="235" t="s">
        <v>84</v>
      </c>
      <c r="T7" s="236" t="s">
        <v>111</v>
      </c>
      <c r="U7" s="229"/>
    </row>
    <row r="8" spans="1:21" x14ac:dyDescent="0.2">
      <c r="A8" s="237">
        <v>2020</v>
      </c>
      <c r="B8" s="238">
        <v>3011.0866090397471</v>
      </c>
      <c r="C8" s="239">
        <v>435.87228941920017</v>
      </c>
      <c r="D8" s="240">
        <f>+SUM(B8:C8)</f>
        <v>3446.9588984589473</v>
      </c>
      <c r="E8" s="241">
        <v>2840.8334473648329</v>
      </c>
      <c r="F8" s="239">
        <v>9195.9785973819999</v>
      </c>
      <c r="G8" s="240">
        <f>E8+F8</f>
        <v>12036.812044746832</v>
      </c>
      <c r="H8" s="238">
        <f t="shared" ref="H8:H37" si="0">+B8+E8</f>
        <v>5851.9200564045805</v>
      </c>
      <c r="I8" s="239">
        <f t="shared" ref="I8:I37" si="1">+C8+F8</f>
        <v>9631.8508868011995</v>
      </c>
      <c r="J8" s="240">
        <f>+SUM(H8:I8)</f>
        <v>15483.77094320578</v>
      </c>
      <c r="K8" s="251"/>
      <c r="L8" s="238">
        <f>+SUMIF('Nuevos Bonos'!$N:$N,'Perfil de vencimientos'!$A8,'Nuevos Bonos'!CX:CX)</f>
        <v>0</v>
      </c>
      <c r="M8" s="239">
        <f>+SUMIF('Nuevos Bonos'!$N:$N,'Perfil de vencimientos'!$A8,'Nuevos Bonos'!CY:CY)</f>
        <v>0</v>
      </c>
      <c r="N8" s="240">
        <f>+SUM(L8:M8)</f>
        <v>0</v>
      </c>
      <c r="O8" s="238">
        <v>0</v>
      </c>
      <c r="P8" s="239">
        <v>0</v>
      </c>
      <c r="Q8" s="240">
        <f>+SUM(O8:P8)</f>
        <v>0</v>
      </c>
      <c r="R8" s="239">
        <f>+L8+O8</f>
        <v>0</v>
      </c>
      <c r="S8" s="239">
        <f>+M8+P8</f>
        <v>0</v>
      </c>
      <c r="T8" s="242">
        <f>+SUM(R8:S8)</f>
        <v>0</v>
      </c>
    </row>
    <row r="9" spans="1:21" x14ac:dyDescent="0.2">
      <c r="A9" s="237">
        <v>2021</v>
      </c>
      <c r="B9" s="238">
        <v>3879.9036637925988</v>
      </c>
      <c r="C9" s="239">
        <v>4484</v>
      </c>
      <c r="D9" s="240">
        <f t="shared" ref="D9:D37" si="2">+SUM(B9:C9)</f>
        <v>8363.9036637925983</v>
      </c>
      <c r="E9" s="238">
        <v>2431.9462470374433</v>
      </c>
      <c r="F9" s="239">
        <v>1334.605909431999</v>
      </c>
      <c r="G9" s="240">
        <f t="shared" ref="G9:G37" si="3">E9+F9</f>
        <v>3766.5521564694423</v>
      </c>
      <c r="H9" s="238">
        <f t="shared" si="0"/>
        <v>6311.8499108300421</v>
      </c>
      <c r="I9" s="239">
        <f t="shared" si="1"/>
        <v>5818.605909431999</v>
      </c>
      <c r="J9" s="240">
        <f t="shared" ref="J9:J37" si="4">+SUM(H9:I9)</f>
        <v>12130.455820262041</v>
      </c>
      <c r="K9" s="251"/>
      <c r="L9" s="238">
        <f>+SUMIF('Nuevos Bonos'!$N:$N,'Perfil de vencimientos'!$A9,'Nuevos Bonos'!CX:CX)</f>
        <v>89.26350958474859</v>
      </c>
      <c r="M9" s="239">
        <f>+SUMIF('Nuevos Bonos'!$N:$N,'Perfil de vencimientos'!$A9,'Nuevos Bonos'!CY:CY)</f>
        <v>0</v>
      </c>
      <c r="N9" s="240">
        <f t="shared" ref="N9:N37" si="5">+SUM(L9:M9)</f>
        <v>89.26350958474859</v>
      </c>
      <c r="O9" s="238">
        <v>63.38707511846232</v>
      </c>
      <c r="P9" s="239">
        <v>1.3613288400366832</v>
      </c>
      <c r="Q9" s="240">
        <f t="shared" ref="Q9:Q37" si="6">+SUM(O9:P9)</f>
        <v>64.748403958498997</v>
      </c>
      <c r="R9" s="239">
        <f t="shared" ref="R9:S37" si="7">+L9+O9</f>
        <v>152.65058470321091</v>
      </c>
      <c r="S9" s="239">
        <f t="shared" si="7"/>
        <v>1.3613288400366832</v>
      </c>
      <c r="T9" s="242">
        <f t="shared" ref="T9:T37" si="8">+SUM(R9:S9)</f>
        <v>154.0119135432476</v>
      </c>
    </row>
    <row r="10" spans="1:21" x14ac:dyDescent="0.2">
      <c r="A10" s="237">
        <v>2022</v>
      </c>
      <c r="B10" s="238">
        <v>3633.7245618815091</v>
      </c>
      <c r="C10" s="239">
        <v>4720.0693872750799</v>
      </c>
      <c r="D10" s="240">
        <f t="shared" si="2"/>
        <v>8353.7939491565885</v>
      </c>
      <c r="E10" s="238">
        <v>2315.6512406572679</v>
      </c>
      <c r="F10" s="239">
        <v>5823.9591344319988</v>
      </c>
      <c r="G10" s="240">
        <f t="shared" si="3"/>
        <v>8139.6103750892671</v>
      </c>
      <c r="H10" s="238">
        <f t="shared" si="0"/>
        <v>5949.375802538777</v>
      </c>
      <c r="I10" s="239">
        <f t="shared" si="1"/>
        <v>10544.028521707078</v>
      </c>
      <c r="J10" s="240">
        <f t="shared" si="4"/>
        <v>16493.404324245854</v>
      </c>
      <c r="K10" s="251"/>
      <c r="L10" s="238">
        <f>+SUMIF('Nuevos Bonos'!$N:$N,'Perfil de vencimientos'!$A10,'Nuevos Bonos'!CX:CX)</f>
        <v>788.29363345866864</v>
      </c>
      <c r="M10" s="239">
        <f>+SUMIF('Nuevos Bonos'!$N:$N,'Perfil de vencimientos'!$A10,'Nuevos Bonos'!CY:CY)</f>
        <v>0</v>
      </c>
      <c r="N10" s="240">
        <f t="shared" si="5"/>
        <v>788.29363345866864</v>
      </c>
      <c r="O10" s="238">
        <v>443.25224133162845</v>
      </c>
      <c r="P10" s="239">
        <v>1.225974670906907</v>
      </c>
      <c r="Q10" s="240">
        <f t="shared" si="6"/>
        <v>444.47821600253536</v>
      </c>
      <c r="R10" s="239">
        <f t="shared" si="7"/>
        <v>1231.5458747902971</v>
      </c>
      <c r="S10" s="239">
        <f t="shared" si="7"/>
        <v>1.225974670906907</v>
      </c>
      <c r="T10" s="242">
        <f t="shared" si="8"/>
        <v>1232.7718494612041</v>
      </c>
    </row>
    <row r="11" spans="1:21" x14ac:dyDescent="0.2">
      <c r="A11" s="237">
        <v>2023</v>
      </c>
      <c r="B11" s="238">
        <v>3444.8843731245993</v>
      </c>
      <c r="C11" s="239">
        <v>2926.0555098200639</v>
      </c>
      <c r="D11" s="240">
        <f t="shared" si="2"/>
        <v>6370.9398829446636</v>
      </c>
      <c r="E11" s="238">
        <v>1836.4613152290183</v>
      </c>
      <c r="F11" s="239">
        <v>2527.7115354519988</v>
      </c>
      <c r="G11" s="240">
        <f t="shared" si="3"/>
        <v>4364.1728506810168</v>
      </c>
      <c r="H11" s="238">
        <f t="shared" si="0"/>
        <v>5281.3456883536173</v>
      </c>
      <c r="I11" s="239">
        <f t="shared" si="1"/>
        <v>5453.7670452720631</v>
      </c>
      <c r="J11" s="240">
        <f t="shared" si="4"/>
        <v>10735.11273362568</v>
      </c>
      <c r="K11" s="251"/>
      <c r="L11" s="238">
        <f>+SUMIF('Nuevos Bonos'!$N:$N,'Perfil de vencimientos'!$A11,'Nuevos Bonos'!CX:CX)</f>
        <v>1209.8389759448601</v>
      </c>
      <c r="M11" s="239">
        <f>+SUMIF('Nuevos Bonos'!$N:$N,'Perfil de vencimientos'!$A11,'Nuevos Bonos'!CY:CY)</f>
        <v>0</v>
      </c>
      <c r="N11" s="240">
        <f t="shared" si="5"/>
        <v>1209.8389759448601</v>
      </c>
      <c r="O11" s="238">
        <v>641.26200936445218</v>
      </c>
      <c r="P11" s="239">
        <v>1.2661285447057642</v>
      </c>
      <c r="Q11" s="240">
        <f t="shared" si="6"/>
        <v>642.52813790915798</v>
      </c>
      <c r="R11" s="239">
        <f t="shared" si="7"/>
        <v>1851.1009853093124</v>
      </c>
      <c r="S11" s="239">
        <f t="shared" si="7"/>
        <v>1.2661285447057642</v>
      </c>
      <c r="T11" s="242">
        <f t="shared" si="8"/>
        <v>1852.367113854018</v>
      </c>
    </row>
    <row r="12" spans="1:21" x14ac:dyDescent="0.2">
      <c r="A12" s="237">
        <v>2024</v>
      </c>
      <c r="B12" s="238">
        <v>3341.069244606696</v>
      </c>
      <c r="C12" s="239">
        <v>1187.7190051294149</v>
      </c>
      <c r="D12" s="240">
        <f t="shared" si="2"/>
        <v>4528.7882497361106</v>
      </c>
      <c r="E12" s="238">
        <v>1669.1748120433131</v>
      </c>
      <c r="F12" s="239">
        <v>2561.5830303450034</v>
      </c>
      <c r="G12" s="240">
        <f t="shared" si="3"/>
        <v>4230.7578423883169</v>
      </c>
      <c r="H12" s="238">
        <f t="shared" si="0"/>
        <v>5010.244056650009</v>
      </c>
      <c r="I12" s="239">
        <f t="shared" si="1"/>
        <v>3749.3020354744185</v>
      </c>
      <c r="J12" s="240">
        <f t="shared" si="4"/>
        <v>8759.5460921244267</v>
      </c>
      <c r="K12" s="251"/>
      <c r="L12" s="238">
        <f>+SUMIF('Nuevos Bonos'!$N:$N,'Perfil de vencimientos'!$A12,'Nuevos Bonos'!CX:CX)</f>
        <v>1805.2079048586702</v>
      </c>
      <c r="M12" s="239">
        <f>+SUMIF('Nuevos Bonos'!$N:$N,'Perfil de vencimientos'!$A12,'Nuevos Bonos'!CY:CY)</f>
        <v>697.83088321768787</v>
      </c>
      <c r="N12" s="240">
        <f t="shared" si="5"/>
        <v>2503.0387880763583</v>
      </c>
      <c r="O12" s="238">
        <v>993.46391511077161</v>
      </c>
      <c r="P12" s="239">
        <v>762.57965641624014</v>
      </c>
      <c r="Q12" s="240">
        <f t="shared" si="6"/>
        <v>1756.0435715270119</v>
      </c>
      <c r="R12" s="239">
        <f t="shared" si="7"/>
        <v>2798.6718199694419</v>
      </c>
      <c r="S12" s="239">
        <f t="shared" si="7"/>
        <v>1460.410539633928</v>
      </c>
      <c r="T12" s="242">
        <f t="shared" si="8"/>
        <v>4259.0823596033697</v>
      </c>
    </row>
    <row r="13" spans="1:21" x14ac:dyDescent="0.2">
      <c r="A13" s="237">
        <v>2025</v>
      </c>
      <c r="B13" s="238">
        <v>3246.0665897377457</v>
      </c>
      <c r="C13" s="239">
        <v>1187.7190051294149</v>
      </c>
      <c r="D13" s="240">
        <f t="shared" si="2"/>
        <v>4433.7855948671604</v>
      </c>
      <c r="E13" s="238">
        <v>1521.369376877987</v>
      </c>
      <c r="F13" s="239">
        <v>5758.0138544430001</v>
      </c>
      <c r="G13" s="240">
        <f t="shared" si="3"/>
        <v>7279.3832313209869</v>
      </c>
      <c r="H13" s="238">
        <f t="shared" si="0"/>
        <v>4767.4359666157325</v>
      </c>
      <c r="I13" s="239">
        <f t="shared" si="1"/>
        <v>6945.7328595724148</v>
      </c>
      <c r="J13" s="240">
        <f t="shared" si="4"/>
        <v>11713.168826188146</v>
      </c>
      <c r="K13" s="251"/>
      <c r="L13" s="238">
        <f>+SUMIF('Nuevos Bonos'!$N:$N,'Perfil de vencimientos'!$A13,'Nuevos Bonos'!CX:CX)</f>
        <v>2005.9460760788324</v>
      </c>
      <c r="M13" s="239">
        <f>+SUMIF('Nuevos Bonos'!$N:$N,'Perfil de vencimientos'!$A13,'Nuevos Bonos'!CY:CY)</f>
        <v>3345.4505708068391</v>
      </c>
      <c r="N13" s="240">
        <f t="shared" si="5"/>
        <v>5351.3966468856715</v>
      </c>
      <c r="O13" s="238">
        <v>1132.9325953319176</v>
      </c>
      <c r="P13" s="239">
        <v>3559.4648436773064</v>
      </c>
      <c r="Q13" s="240">
        <f t="shared" si="6"/>
        <v>4692.3974390092244</v>
      </c>
      <c r="R13" s="239">
        <f t="shared" si="7"/>
        <v>3138.87867141075</v>
      </c>
      <c r="S13" s="239">
        <f t="shared" si="7"/>
        <v>6904.915414484145</v>
      </c>
      <c r="T13" s="242">
        <f t="shared" si="8"/>
        <v>10043.794085894895</v>
      </c>
    </row>
    <row r="14" spans="1:21" x14ac:dyDescent="0.2">
      <c r="A14" s="237">
        <v>2026</v>
      </c>
      <c r="B14" s="238">
        <v>2908.4170182952475</v>
      </c>
      <c r="C14" s="239">
        <v>7642.569005129415</v>
      </c>
      <c r="D14" s="240">
        <f t="shared" si="2"/>
        <v>10550.986023424663</v>
      </c>
      <c r="E14" s="238">
        <v>1091.0968569264817</v>
      </c>
      <c r="F14" s="239">
        <v>725.37452148300008</v>
      </c>
      <c r="G14" s="240">
        <f t="shared" si="3"/>
        <v>1816.4713784094818</v>
      </c>
      <c r="H14" s="238">
        <f t="shared" si="0"/>
        <v>3999.513875221729</v>
      </c>
      <c r="I14" s="239">
        <f t="shared" si="1"/>
        <v>8367.9435266124146</v>
      </c>
      <c r="J14" s="240">
        <f t="shared" si="4"/>
        <v>12367.457401834145</v>
      </c>
      <c r="K14" s="251"/>
      <c r="L14" s="238">
        <f>+SUMIF('Nuevos Bonos'!$N:$N,'Perfil de vencimientos'!$A14,'Nuevos Bonos'!CX:CX)</f>
        <v>1983.7911788827746</v>
      </c>
      <c r="M14" s="239">
        <f>+SUMIF('Nuevos Bonos'!$N:$N,'Perfil de vencimientos'!$A14,'Nuevos Bonos'!CY:CY)</f>
        <v>3345.4505708068391</v>
      </c>
      <c r="N14" s="240">
        <f t="shared" si="5"/>
        <v>5329.2417496896142</v>
      </c>
      <c r="O14" s="238">
        <v>1104.9621820634502</v>
      </c>
      <c r="P14" s="239">
        <v>3558.8149963288784</v>
      </c>
      <c r="Q14" s="240">
        <f t="shared" si="6"/>
        <v>4663.777178392329</v>
      </c>
      <c r="R14" s="239">
        <f t="shared" si="7"/>
        <v>3088.7533609462248</v>
      </c>
      <c r="S14" s="239">
        <f t="shared" si="7"/>
        <v>6904.265567135717</v>
      </c>
      <c r="T14" s="242">
        <f t="shared" si="8"/>
        <v>9993.0189280819413</v>
      </c>
    </row>
    <row r="15" spans="1:21" x14ac:dyDescent="0.2">
      <c r="A15" s="237">
        <v>2027</v>
      </c>
      <c r="B15" s="238">
        <v>2442.2317349098907</v>
      </c>
      <c r="C15" s="239">
        <v>6407.7883924044945</v>
      </c>
      <c r="D15" s="240">
        <f t="shared" si="2"/>
        <v>8850.0201273143848</v>
      </c>
      <c r="E15" s="238">
        <v>1031.0358465633026</v>
      </c>
      <c r="F15" s="239">
        <v>5415.8740844829999</v>
      </c>
      <c r="G15" s="240">
        <f t="shared" si="3"/>
        <v>6446.9099310463025</v>
      </c>
      <c r="H15" s="238">
        <f t="shared" si="0"/>
        <v>3473.2675814731933</v>
      </c>
      <c r="I15" s="239">
        <f t="shared" si="1"/>
        <v>11823.662476887494</v>
      </c>
      <c r="J15" s="240">
        <f t="shared" si="4"/>
        <v>15296.930058360687</v>
      </c>
      <c r="K15" s="251"/>
      <c r="L15" s="238">
        <f>+SUMIF('Nuevos Bonos'!$N:$N,'Perfil de vencimientos'!$A15,'Nuevos Bonos'!CX:CX)</f>
        <v>1961.6362816867163</v>
      </c>
      <c r="M15" s="239">
        <f>+SUMIF('Nuevos Bonos'!$N:$N,'Perfil de vencimientos'!$A15,'Nuevos Bonos'!CY:CY)</f>
        <v>3885.3228458747399</v>
      </c>
      <c r="N15" s="240">
        <f t="shared" si="5"/>
        <v>5846.9591275614566</v>
      </c>
      <c r="O15" s="238">
        <v>1044.6630907548149</v>
      </c>
      <c r="P15" s="239">
        <v>3823.0610282952457</v>
      </c>
      <c r="Q15" s="240">
        <f t="shared" si="6"/>
        <v>4867.7241190500608</v>
      </c>
      <c r="R15" s="239">
        <f t="shared" si="7"/>
        <v>3006.299372441531</v>
      </c>
      <c r="S15" s="239">
        <f t="shared" si="7"/>
        <v>7708.3838741699856</v>
      </c>
      <c r="T15" s="242">
        <f t="shared" si="8"/>
        <v>10714.683246611516</v>
      </c>
    </row>
    <row r="16" spans="1:21" x14ac:dyDescent="0.2">
      <c r="A16" s="237">
        <v>2028</v>
      </c>
      <c r="B16" s="238">
        <v>2019.9071416897698</v>
      </c>
      <c r="C16" s="239">
        <v>7578.7745149494785</v>
      </c>
      <c r="D16" s="240">
        <f t="shared" si="2"/>
        <v>9598.6816566392481</v>
      </c>
      <c r="E16" s="238">
        <v>601.59799560314752</v>
      </c>
      <c r="F16" s="239">
        <v>725.37452148300008</v>
      </c>
      <c r="G16" s="240">
        <f t="shared" si="3"/>
        <v>1326.9725170861475</v>
      </c>
      <c r="H16" s="238">
        <f t="shared" si="0"/>
        <v>2621.5051372929174</v>
      </c>
      <c r="I16" s="239">
        <f t="shared" si="1"/>
        <v>8304.1490364324782</v>
      </c>
      <c r="J16" s="240">
        <f t="shared" si="4"/>
        <v>10925.654173725396</v>
      </c>
      <c r="K16" s="251"/>
      <c r="L16" s="238">
        <f>+SUMIF('Nuevos Bonos'!$N:$N,'Perfil de vencimientos'!$A16,'Nuevos Bonos'!CX:CX)</f>
        <v>2084.9741985907049</v>
      </c>
      <c r="M16" s="239">
        <f>+SUMIF('Nuevos Bonos'!$N:$N,'Perfil de vencimientos'!$A16,'Nuevos Bonos'!CY:CY)</f>
        <v>5328.5143217781697</v>
      </c>
      <c r="N16" s="240">
        <f t="shared" si="5"/>
        <v>7413.4885203688746</v>
      </c>
      <c r="O16" s="238">
        <v>1157.1287825948839</v>
      </c>
      <c r="P16" s="239">
        <v>4245.7054730212849</v>
      </c>
      <c r="Q16" s="240">
        <f t="shared" si="6"/>
        <v>5402.8342556161688</v>
      </c>
      <c r="R16" s="239">
        <f t="shared" si="7"/>
        <v>3242.1029811855888</v>
      </c>
      <c r="S16" s="239">
        <f t="shared" si="7"/>
        <v>9574.2197947994537</v>
      </c>
      <c r="T16" s="242">
        <f t="shared" si="8"/>
        <v>12816.322775985042</v>
      </c>
    </row>
    <row r="17" spans="1:20" x14ac:dyDescent="0.2">
      <c r="A17" s="237">
        <v>2029</v>
      </c>
      <c r="B17" s="238">
        <v>1763.5355417948406</v>
      </c>
      <c r="C17" s="239">
        <v>1820.0424457142849</v>
      </c>
      <c r="D17" s="240">
        <f t="shared" si="2"/>
        <v>3583.5779875091257</v>
      </c>
      <c r="E17" s="238">
        <v>551.29450429587666</v>
      </c>
      <c r="F17" s="239">
        <v>790.42464868299999</v>
      </c>
      <c r="G17" s="240">
        <f t="shared" si="3"/>
        <v>1341.7191529788765</v>
      </c>
      <c r="H17" s="238">
        <f t="shared" si="0"/>
        <v>2314.8300460907171</v>
      </c>
      <c r="I17" s="239">
        <f t="shared" si="1"/>
        <v>2610.4670943972851</v>
      </c>
      <c r="J17" s="240">
        <f t="shared" si="4"/>
        <v>4925.2971404880027</v>
      </c>
      <c r="K17" s="251"/>
      <c r="L17" s="238">
        <f>+SUMIF('Nuevos Bonos'!$N:$N,'Perfil de vencimientos'!$A17,'Nuevos Bonos'!CX:CX)</f>
        <v>2012.7049294233875</v>
      </c>
      <c r="M17" s="239">
        <f>+SUMIF('Nuevos Bonos'!$N:$N,'Perfil de vencimientos'!$A17,'Nuevos Bonos'!CY:CY)</f>
        <v>5328.5143217781697</v>
      </c>
      <c r="N17" s="240">
        <f t="shared" si="5"/>
        <v>7341.2192512015572</v>
      </c>
      <c r="O17" s="238">
        <v>1095.7672046456723</v>
      </c>
      <c r="P17" s="239">
        <v>4245.7054730212849</v>
      </c>
      <c r="Q17" s="240">
        <f t="shared" si="6"/>
        <v>5341.4726776669577</v>
      </c>
      <c r="R17" s="239">
        <f t="shared" si="7"/>
        <v>3108.4721340690598</v>
      </c>
      <c r="S17" s="239">
        <f t="shared" si="7"/>
        <v>9574.2197947994537</v>
      </c>
      <c r="T17" s="242">
        <f t="shared" si="8"/>
        <v>12682.691928868513</v>
      </c>
    </row>
    <row r="18" spans="1:20" x14ac:dyDescent="0.2">
      <c r="A18" s="237">
        <v>2030</v>
      </c>
      <c r="B18" s="238">
        <v>1710.9493424090585</v>
      </c>
      <c r="C18" s="239">
        <v>2452.3658862991551</v>
      </c>
      <c r="D18" s="240">
        <f t="shared" si="2"/>
        <v>4163.3152287082139</v>
      </c>
      <c r="E18" s="238">
        <v>495.86831547726405</v>
      </c>
      <c r="F18" s="239">
        <v>855.47477588299989</v>
      </c>
      <c r="G18" s="240">
        <f t="shared" si="3"/>
        <v>1351.343091360264</v>
      </c>
      <c r="H18" s="238">
        <f t="shared" si="0"/>
        <v>2206.8176578863226</v>
      </c>
      <c r="I18" s="239">
        <f t="shared" si="1"/>
        <v>3307.840662182155</v>
      </c>
      <c r="J18" s="240">
        <f t="shared" si="4"/>
        <v>5514.6583200684781</v>
      </c>
      <c r="K18" s="251"/>
      <c r="L18" s="238">
        <f>+SUMIF('Nuevos Bonos'!$N:$N,'Perfil de vencimientos'!$A18,'Nuevos Bonos'!CX:CX)</f>
        <v>2045.3571262062037</v>
      </c>
      <c r="M18" s="239">
        <f>+SUMIF('Nuevos Bonos'!$N:$N,'Perfil de vencimientos'!$A18,'Nuevos Bonos'!CY:CY)</f>
        <v>4774.387283842083</v>
      </c>
      <c r="N18" s="240">
        <f t="shared" si="5"/>
        <v>6819.7444100482862</v>
      </c>
      <c r="O18" s="238">
        <v>1017.9053389713263</v>
      </c>
      <c r="P18" s="239">
        <v>3797.5103173422449</v>
      </c>
      <c r="Q18" s="240">
        <f t="shared" si="6"/>
        <v>4815.4156563135712</v>
      </c>
      <c r="R18" s="239">
        <f t="shared" si="7"/>
        <v>3063.26246517753</v>
      </c>
      <c r="S18" s="239">
        <f t="shared" si="7"/>
        <v>8571.8976011843279</v>
      </c>
      <c r="T18" s="242">
        <f t="shared" si="8"/>
        <v>11635.160066361857</v>
      </c>
    </row>
    <row r="19" spans="1:20" x14ac:dyDescent="0.2">
      <c r="A19" s="237">
        <v>2031</v>
      </c>
      <c r="B19" s="238">
        <v>1553.215786286371</v>
      </c>
      <c r="C19" s="239">
        <v>2452.3658862991551</v>
      </c>
      <c r="D19" s="240">
        <f t="shared" si="2"/>
        <v>4005.5816725855261</v>
      </c>
      <c r="E19" s="238">
        <v>428.97704174676755</v>
      </c>
      <c r="F19" s="239">
        <v>855.47477588299989</v>
      </c>
      <c r="G19" s="240">
        <f t="shared" si="3"/>
        <v>1284.4518176297674</v>
      </c>
      <c r="H19" s="238">
        <f t="shared" si="0"/>
        <v>1982.1928280331385</v>
      </c>
      <c r="I19" s="239">
        <f t="shared" si="1"/>
        <v>3307.840662182155</v>
      </c>
      <c r="J19" s="240">
        <f t="shared" si="4"/>
        <v>5290.0334902152936</v>
      </c>
      <c r="K19" s="251"/>
      <c r="L19" s="238">
        <f>+SUMIF('Nuevos Bonos'!$N:$N,'Perfil de vencimientos'!$A19,'Nuevos Bonos'!CX:CX)</f>
        <v>1868.714967255185</v>
      </c>
      <c r="M19" s="239">
        <f>+SUMIF('Nuevos Bonos'!$N:$N,'Perfil de vencimientos'!$A19,'Nuevos Bonos'!CY:CY)</f>
        <v>6554.2166237819511</v>
      </c>
      <c r="N19" s="240">
        <f t="shared" si="5"/>
        <v>8422.931591037137</v>
      </c>
      <c r="O19" s="238">
        <v>907.80131967726038</v>
      </c>
      <c r="P19" s="239">
        <v>3363.1263198272209</v>
      </c>
      <c r="Q19" s="240">
        <f t="shared" si="6"/>
        <v>4270.9276395044817</v>
      </c>
      <c r="R19" s="239">
        <f t="shared" si="7"/>
        <v>2776.5162869324454</v>
      </c>
      <c r="S19" s="239">
        <f t="shared" si="7"/>
        <v>9917.3429436091719</v>
      </c>
      <c r="T19" s="242">
        <f t="shared" si="8"/>
        <v>12693.859230541617</v>
      </c>
    </row>
    <row r="20" spans="1:20" x14ac:dyDescent="0.2">
      <c r="A20" s="237">
        <v>2032</v>
      </c>
      <c r="B20" s="238">
        <v>1395.6332647161792</v>
      </c>
      <c r="C20" s="239">
        <v>2452.3658862991551</v>
      </c>
      <c r="D20" s="240">
        <f t="shared" si="2"/>
        <v>3847.9991510153341</v>
      </c>
      <c r="E20" s="238">
        <v>362.08576799929551</v>
      </c>
      <c r="F20" s="239">
        <v>855.47477588299989</v>
      </c>
      <c r="G20" s="240">
        <f t="shared" si="3"/>
        <v>1217.5605438822954</v>
      </c>
      <c r="H20" s="238">
        <f t="shared" si="0"/>
        <v>1757.7190327154747</v>
      </c>
      <c r="I20" s="239">
        <f t="shared" si="1"/>
        <v>3307.840662182155</v>
      </c>
      <c r="J20" s="240">
        <f t="shared" si="4"/>
        <v>5065.5596948976299</v>
      </c>
      <c r="K20" s="251"/>
      <c r="L20" s="238">
        <f>+SUMIF('Nuevos Bonos'!$N:$N,'Perfil de vencimientos'!$A20,'Nuevos Bonos'!CX:CX)</f>
        <v>1554.3305714719143</v>
      </c>
      <c r="M20" s="239">
        <f>+SUMIF('Nuevos Bonos'!$N:$N,'Perfil de vencimientos'!$A20,'Nuevos Bonos'!CY:CY)</f>
        <v>6554.2166237819511</v>
      </c>
      <c r="N20" s="240">
        <f t="shared" si="5"/>
        <v>8108.5471952538655</v>
      </c>
      <c r="O20" s="238">
        <v>739.76116462732784</v>
      </c>
      <c r="P20" s="239">
        <v>3363.1263198272209</v>
      </c>
      <c r="Q20" s="240">
        <f t="shared" si="6"/>
        <v>4102.8874844545489</v>
      </c>
      <c r="R20" s="239">
        <f t="shared" si="7"/>
        <v>2294.0917360992421</v>
      </c>
      <c r="S20" s="239">
        <f t="shared" si="7"/>
        <v>9917.3429436091719</v>
      </c>
      <c r="T20" s="242">
        <f t="shared" si="8"/>
        <v>12211.434679708414</v>
      </c>
    </row>
    <row r="21" spans="1:20" x14ac:dyDescent="0.2">
      <c r="A21" s="237">
        <v>2033</v>
      </c>
      <c r="B21" s="238">
        <v>1237.7486740762326</v>
      </c>
      <c r="C21" s="239">
        <v>2452.3658862991551</v>
      </c>
      <c r="D21" s="240">
        <f t="shared" si="2"/>
        <v>3690.1145603753876</v>
      </c>
      <c r="E21" s="238">
        <v>295.19449426879908</v>
      </c>
      <c r="F21" s="239">
        <v>855.47477588299989</v>
      </c>
      <c r="G21" s="240">
        <f t="shared" si="3"/>
        <v>1150.6692701517991</v>
      </c>
      <c r="H21" s="238">
        <f t="shared" si="0"/>
        <v>1532.9431683450316</v>
      </c>
      <c r="I21" s="239">
        <f t="shared" si="1"/>
        <v>3307.840662182155</v>
      </c>
      <c r="J21" s="240">
        <f t="shared" si="4"/>
        <v>4840.7838305271871</v>
      </c>
      <c r="K21" s="251"/>
      <c r="L21" s="238">
        <f>+SUMIF('Nuevos Bonos'!$N:$N,'Perfil de vencimientos'!$A21,'Nuevos Bonos'!CX:CX)</f>
        <v>1239.9461756886431</v>
      </c>
      <c r="M21" s="239">
        <f>+SUMIF('Nuevos Bonos'!$N:$N,'Perfil de vencimientos'!$A21,'Nuevos Bonos'!CY:CY)</f>
        <v>6554.2166237819511</v>
      </c>
      <c r="N21" s="240">
        <f t="shared" si="5"/>
        <v>7794.1627994705941</v>
      </c>
      <c r="O21" s="238">
        <v>571.72100957739542</v>
      </c>
      <c r="P21" s="239">
        <v>3363.1263198272209</v>
      </c>
      <c r="Q21" s="240">
        <f t="shared" si="6"/>
        <v>3934.8473294046162</v>
      </c>
      <c r="R21" s="239">
        <f t="shared" si="7"/>
        <v>1811.6671852660384</v>
      </c>
      <c r="S21" s="239">
        <f t="shared" si="7"/>
        <v>9917.3429436091719</v>
      </c>
      <c r="T21" s="242">
        <f t="shared" si="8"/>
        <v>11729.01012887521</v>
      </c>
    </row>
    <row r="22" spans="1:20" x14ac:dyDescent="0.2">
      <c r="A22" s="237">
        <v>2034</v>
      </c>
      <c r="B22" s="238">
        <v>1103.8206575439963</v>
      </c>
      <c r="C22" s="239">
        <v>1264.64688116974</v>
      </c>
      <c r="D22" s="240">
        <f t="shared" si="2"/>
        <v>2368.4675387137363</v>
      </c>
      <c r="E22" s="238">
        <v>243.31847313899999</v>
      </c>
      <c r="F22" s="239">
        <v>130.10025439999993</v>
      </c>
      <c r="G22" s="240">
        <f t="shared" si="3"/>
        <v>373.41872753899992</v>
      </c>
      <c r="H22" s="238">
        <f t="shared" si="0"/>
        <v>1347.1391306829962</v>
      </c>
      <c r="I22" s="239">
        <f t="shared" si="1"/>
        <v>1394.7471355697398</v>
      </c>
      <c r="J22" s="240">
        <f t="shared" si="4"/>
        <v>2741.8862662527363</v>
      </c>
      <c r="K22" s="251"/>
      <c r="L22" s="238">
        <f>+SUMIF('Nuevos Bonos'!$N:$N,'Perfil de vencimientos'!$A22,'Nuevos Bonos'!CX:CX)</f>
        <v>925.5617799053723</v>
      </c>
      <c r="M22" s="239">
        <f>+SUMIF('Nuevos Bonos'!$N:$N,'Perfil de vencimientos'!$A22,'Nuevos Bonos'!CY:CY)</f>
        <v>6554.2166237819511</v>
      </c>
      <c r="N22" s="240">
        <f t="shared" si="5"/>
        <v>7479.7784036873236</v>
      </c>
      <c r="O22" s="238">
        <v>403.680854527463</v>
      </c>
      <c r="P22" s="239">
        <v>3363.1263198272209</v>
      </c>
      <c r="Q22" s="240">
        <f t="shared" si="6"/>
        <v>3766.8071743546839</v>
      </c>
      <c r="R22" s="239">
        <f t="shared" si="7"/>
        <v>1329.2426344328353</v>
      </c>
      <c r="S22" s="239">
        <f t="shared" si="7"/>
        <v>9917.3429436091719</v>
      </c>
      <c r="T22" s="242">
        <f t="shared" si="8"/>
        <v>11246.585578042008</v>
      </c>
    </row>
    <row r="23" spans="1:20" x14ac:dyDescent="0.2">
      <c r="A23" s="237">
        <v>2035</v>
      </c>
      <c r="B23" s="238">
        <v>1041.3092598301562</v>
      </c>
      <c r="C23" s="239">
        <v>1264.64688116974</v>
      </c>
      <c r="D23" s="240">
        <f t="shared" si="2"/>
        <v>2305.956140999896</v>
      </c>
      <c r="E23" s="238">
        <v>202.257377343</v>
      </c>
      <c r="F23" s="239">
        <v>1027.9581543499999</v>
      </c>
      <c r="G23" s="240">
        <f t="shared" si="3"/>
        <v>1230.2155316929998</v>
      </c>
      <c r="H23" s="238">
        <f t="shared" si="0"/>
        <v>1243.5666371731561</v>
      </c>
      <c r="I23" s="239">
        <f t="shared" si="1"/>
        <v>2292.6050355197399</v>
      </c>
      <c r="J23" s="240">
        <f t="shared" si="4"/>
        <v>3536.1716726928962</v>
      </c>
      <c r="K23" s="251"/>
      <c r="L23" s="238">
        <f>+SUMIF('Nuevos Bonos'!$N:$N,'Perfil de vencimientos'!$A23,'Nuevos Bonos'!CX:CX)</f>
        <v>611.17738412210133</v>
      </c>
      <c r="M23" s="239">
        <f>+SUMIF('Nuevos Bonos'!$N:$N,'Perfil de vencimientos'!$A23,'Nuevos Bonos'!CY:CY)</f>
        <v>6554.2166237819511</v>
      </c>
      <c r="N23" s="240">
        <f t="shared" si="5"/>
        <v>7165.3940079040522</v>
      </c>
      <c r="O23" s="238">
        <v>235.64069947753049</v>
      </c>
      <c r="P23" s="239">
        <v>3363.1263198272209</v>
      </c>
      <c r="Q23" s="240">
        <f t="shared" si="6"/>
        <v>3598.7670193047516</v>
      </c>
      <c r="R23" s="239">
        <f t="shared" si="7"/>
        <v>846.81808359963179</v>
      </c>
      <c r="S23" s="239">
        <f t="shared" si="7"/>
        <v>9917.3429436091719</v>
      </c>
      <c r="T23" s="242">
        <f t="shared" si="8"/>
        <v>10764.161027208804</v>
      </c>
    </row>
    <row r="24" spans="1:20" x14ac:dyDescent="0.2">
      <c r="A24" s="237">
        <v>2036</v>
      </c>
      <c r="B24" s="238">
        <v>978.94889662178502</v>
      </c>
      <c r="C24" s="239">
        <v>2991.6468811697396</v>
      </c>
      <c r="D24" s="240">
        <f t="shared" si="2"/>
        <v>3970.5957777915246</v>
      </c>
      <c r="E24" s="238">
        <v>126.96544911700001</v>
      </c>
      <c r="F24" s="239">
        <v>1027.9581543499999</v>
      </c>
      <c r="G24" s="240">
        <f t="shared" si="3"/>
        <v>1154.9236034669998</v>
      </c>
      <c r="H24" s="238">
        <f t="shared" si="0"/>
        <v>1105.914345738785</v>
      </c>
      <c r="I24" s="239">
        <f t="shared" si="1"/>
        <v>4019.6050355197394</v>
      </c>
      <c r="J24" s="240">
        <f t="shared" si="4"/>
        <v>5125.5193812585239</v>
      </c>
      <c r="K24" s="251"/>
      <c r="L24" s="238">
        <f>+SUMIF('Nuevos Bonos'!$N:$N,'Perfil de vencimientos'!$A24,'Nuevos Bonos'!CX:CX)</f>
        <v>352.54935588693667</v>
      </c>
      <c r="M24" s="239">
        <f>+SUMIF('Nuevos Bonos'!$N:$N,'Perfil de vencimientos'!$A24,'Nuevos Bonos'!CY:CY)</f>
        <v>1983.063750971331</v>
      </c>
      <c r="N24" s="240">
        <f t="shared" si="5"/>
        <v>2335.6131068582677</v>
      </c>
      <c r="O24" s="238">
        <v>100.23512172157302</v>
      </c>
      <c r="P24" s="239">
        <v>752.36013630922071</v>
      </c>
      <c r="Q24" s="240">
        <f t="shared" si="6"/>
        <v>852.59525803079373</v>
      </c>
      <c r="R24" s="239">
        <f t="shared" si="7"/>
        <v>452.78447760850969</v>
      </c>
      <c r="S24" s="239">
        <f t="shared" si="7"/>
        <v>2735.4238872805518</v>
      </c>
      <c r="T24" s="242">
        <f t="shared" si="8"/>
        <v>3188.2083648890616</v>
      </c>
    </row>
    <row r="25" spans="1:20" x14ac:dyDescent="0.2">
      <c r="A25" s="237">
        <v>2037</v>
      </c>
      <c r="B25" s="238">
        <v>793.2377144024764</v>
      </c>
      <c r="C25" s="239">
        <v>1264.64688116974</v>
      </c>
      <c r="D25" s="240">
        <f t="shared" si="2"/>
        <v>2057.8845955722163</v>
      </c>
      <c r="E25" s="238">
        <v>50.636222941</v>
      </c>
      <c r="F25" s="239">
        <v>1055.1659695000001</v>
      </c>
      <c r="G25" s="240">
        <f t="shared" si="3"/>
        <v>1105.802192441</v>
      </c>
      <c r="H25" s="238">
        <f t="shared" si="0"/>
        <v>843.87393734347643</v>
      </c>
      <c r="I25" s="239">
        <f t="shared" si="1"/>
        <v>2319.8128506697403</v>
      </c>
      <c r="J25" s="240">
        <f t="shared" si="4"/>
        <v>3163.6867880132168</v>
      </c>
      <c r="K25" s="251"/>
      <c r="L25" s="238">
        <f>+SUMIF('Nuevos Bonos'!$N:$N,'Perfil de vencimientos'!$A25,'Nuevos Bonos'!CX:CX)</f>
        <v>261.19043029609065</v>
      </c>
      <c r="M25" s="239">
        <f>+SUMIF('Nuevos Bonos'!$N:$N,'Perfil de vencimientos'!$A25,'Nuevos Bonos'!CY:CY)</f>
        <v>1983.063750971331</v>
      </c>
      <c r="N25" s="240">
        <f t="shared" si="5"/>
        <v>2244.2541812674217</v>
      </c>
      <c r="O25" s="238">
        <v>62.733275847540554</v>
      </c>
      <c r="P25" s="239">
        <v>752.36013630922071</v>
      </c>
      <c r="Q25" s="240">
        <f t="shared" si="6"/>
        <v>815.09341215676125</v>
      </c>
      <c r="R25" s="239">
        <f t="shared" si="7"/>
        <v>323.92370614363119</v>
      </c>
      <c r="S25" s="239">
        <f t="shared" si="7"/>
        <v>2735.4238872805518</v>
      </c>
      <c r="T25" s="242">
        <f t="shared" si="8"/>
        <v>3059.3475934241828</v>
      </c>
    </row>
    <row r="26" spans="1:20" x14ac:dyDescent="0.2">
      <c r="A26" s="237">
        <v>2038</v>
      </c>
      <c r="B26" s="238">
        <v>738.54024139698618</v>
      </c>
      <c r="C26" s="239">
        <v>1896.97032175461</v>
      </c>
      <c r="D26" s="240">
        <f t="shared" si="2"/>
        <v>2635.5105631515962</v>
      </c>
      <c r="E26" s="238">
        <v>9.3916001667830731</v>
      </c>
      <c r="F26" s="239">
        <v>195.15038159999992</v>
      </c>
      <c r="G26" s="240">
        <f t="shared" si="3"/>
        <v>204.54198176678298</v>
      </c>
      <c r="H26" s="238">
        <f t="shared" si="0"/>
        <v>747.93184156376924</v>
      </c>
      <c r="I26" s="239">
        <f t="shared" si="1"/>
        <v>2092.1207033546098</v>
      </c>
      <c r="J26" s="240">
        <f t="shared" si="4"/>
        <v>2840.0525449183788</v>
      </c>
      <c r="K26" s="251"/>
      <c r="L26" s="238">
        <f>+SUMIF('Nuevos Bonos'!$N:$N,'Perfil de vencimientos'!$A26,'Nuevos Bonos'!CX:CX)</f>
        <v>169.83150470524464</v>
      </c>
      <c r="M26" s="239">
        <f>+SUMIF('Nuevos Bonos'!$N:$N,'Perfil de vencimientos'!$A26,'Nuevos Bonos'!CY:CY)</f>
        <v>1443.1914759034298</v>
      </c>
      <c r="N26" s="240">
        <f t="shared" si="5"/>
        <v>1613.0229806086745</v>
      </c>
      <c r="O26" s="238">
        <v>25.231429973508099</v>
      </c>
      <c r="P26" s="239">
        <v>422.64444472603896</v>
      </c>
      <c r="Q26" s="240">
        <f t="shared" si="6"/>
        <v>447.87587469954707</v>
      </c>
      <c r="R26" s="239">
        <f t="shared" si="7"/>
        <v>195.06293467875275</v>
      </c>
      <c r="S26" s="239">
        <f t="shared" si="7"/>
        <v>1865.8359206294688</v>
      </c>
      <c r="T26" s="242">
        <f t="shared" si="8"/>
        <v>2060.8988553082218</v>
      </c>
    </row>
    <row r="27" spans="1:20" x14ac:dyDescent="0.2">
      <c r="A27" s="237">
        <v>2039</v>
      </c>
      <c r="B27" s="238">
        <v>652.58706952281557</v>
      </c>
      <c r="C27" s="239">
        <v>0</v>
      </c>
      <c r="D27" s="240">
        <f t="shared" si="2"/>
        <v>652.58706952281557</v>
      </c>
      <c r="E27" s="238">
        <v>0</v>
      </c>
      <c r="F27" s="239">
        <v>0</v>
      </c>
      <c r="G27" s="240">
        <f t="shared" si="3"/>
        <v>0</v>
      </c>
      <c r="H27" s="238">
        <f t="shared" si="0"/>
        <v>652.58706952281557</v>
      </c>
      <c r="I27" s="239">
        <f t="shared" si="1"/>
        <v>0</v>
      </c>
      <c r="J27" s="240">
        <f t="shared" si="4"/>
        <v>652.58706952281557</v>
      </c>
      <c r="K27" s="251"/>
      <c r="L27" s="238">
        <f>+SUMIF('Nuevos Bonos'!$N:$N,'Perfil de vencimientos'!$A27,'Nuevos Bonos'!CX:CX)</f>
        <v>115.49353617020464</v>
      </c>
      <c r="M27" s="239">
        <f>+SUMIF('Nuevos Bonos'!$N:$N,'Perfil de vencimientos'!$A27,'Nuevos Bonos'!CY:CY)</f>
        <v>903.31920083552859</v>
      </c>
      <c r="N27" s="240">
        <f t="shared" si="5"/>
        <v>1018.8127370057332</v>
      </c>
      <c r="O27" s="238">
        <v>12.458260968214296</v>
      </c>
      <c r="P27" s="239">
        <v>92.928753142857147</v>
      </c>
      <c r="Q27" s="240">
        <f t="shared" si="6"/>
        <v>105.38701411107144</v>
      </c>
      <c r="R27" s="239">
        <f t="shared" si="7"/>
        <v>127.95179713841893</v>
      </c>
      <c r="S27" s="239">
        <f t="shared" si="7"/>
        <v>996.24795397838579</v>
      </c>
      <c r="T27" s="242">
        <f t="shared" si="8"/>
        <v>1124.1997511168047</v>
      </c>
    </row>
    <row r="28" spans="1:20" x14ac:dyDescent="0.2">
      <c r="A28" s="237">
        <v>2040</v>
      </c>
      <c r="B28" s="238">
        <v>652.73810405180529</v>
      </c>
      <c r="C28" s="239">
        <v>0</v>
      </c>
      <c r="D28" s="240">
        <f t="shared" si="2"/>
        <v>652.73810405180529</v>
      </c>
      <c r="E28" s="238">
        <v>0</v>
      </c>
      <c r="F28" s="239">
        <v>0</v>
      </c>
      <c r="G28" s="240">
        <f t="shared" si="3"/>
        <v>0</v>
      </c>
      <c r="H28" s="238">
        <f t="shared" si="0"/>
        <v>652.73810405180529</v>
      </c>
      <c r="I28" s="239">
        <f t="shared" si="1"/>
        <v>0</v>
      </c>
      <c r="J28" s="240">
        <f t="shared" si="4"/>
        <v>652.73810405180529</v>
      </c>
      <c r="K28" s="251"/>
      <c r="L28" s="238">
        <f>+SUMIF('Nuevos Bonos'!$N:$N,'Perfil de vencimientos'!$A28,'Nuevos Bonos'!CX:CX)</f>
        <v>73.495886653766604</v>
      </c>
      <c r="M28" s="239">
        <f>+SUMIF('Nuevos Bonos'!$N:$N,'Perfil de vencimientos'!$A28,'Nuevos Bonos'!CY:CY)</f>
        <v>903.31920083552859</v>
      </c>
      <c r="N28" s="240">
        <f t="shared" si="5"/>
        <v>976.81508748929514</v>
      </c>
      <c r="O28" s="238">
        <v>7.9279842525000142</v>
      </c>
      <c r="P28" s="239">
        <v>92.928753142857147</v>
      </c>
      <c r="Q28" s="240">
        <f t="shared" si="6"/>
        <v>100.85673739535716</v>
      </c>
      <c r="R28" s="239">
        <f t="shared" si="7"/>
        <v>81.423870906266615</v>
      </c>
      <c r="S28" s="239">
        <f t="shared" si="7"/>
        <v>996.24795397838579</v>
      </c>
      <c r="T28" s="242">
        <f t="shared" si="8"/>
        <v>1077.6718248846523</v>
      </c>
    </row>
    <row r="29" spans="1:20" x14ac:dyDescent="0.2">
      <c r="A29" s="237">
        <v>2041</v>
      </c>
      <c r="B29" s="238">
        <v>652.58706952281557</v>
      </c>
      <c r="C29" s="239">
        <v>0</v>
      </c>
      <c r="D29" s="240">
        <f t="shared" si="2"/>
        <v>652.58706952281557</v>
      </c>
      <c r="E29" s="238">
        <v>0</v>
      </c>
      <c r="F29" s="239">
        <v>0</v>
      </c>
      <c r="G29" s="240">
        <f t="shared" si="3"/>
        <v>0</v>
      </c>
      <c r="H29" s="238">
        <f t="shared" si="0"/>
        <v>652.58706952281557</v>
      </c>
      <c r="I29" s="239">
        <f t="shared" si="1"/>
        <v>0</v>
      </c>
      <c r="J29" s="240">
        <f t="shared" si="4"/>
        <v>652.58706952281557</v>
      </c>
      <c r="K29" s="251"/>
      <c r="L29" s="238">
        <f>+SUMIF('Nuevos Bonos'!$N:$N,'Perfil de vencimientos'!$A29,'Nuevos Bonos'!CX:CX)</f>
        <v>31.498237137328545</v>
      </c>
      <c r="M29" s="239">
        <f>+SUMIF('Nuevos Bonos'!$N:$N,'Perfil de vencimientos'!$A29,'Nuevos Bonos'!CY:CY)</f>
        <v>903.31920083552859</v>
      </c>
      <c r="N29" s="240">
        <f t="shared" si="5"/>
        <v>934.81743797285708</v>
      </c>
      <c r="O29" s="238">
        <v>3.397707536785731</v>
      </c>
      <c r="P29" s="239">
        <v>92.928753142857147</v>
      </c>
      <c r="Q29" s="240">
        <f t="shared" si="6"/>
        <v>96.326460679642878</v>
      </c>
      <c r="R29" s="239">
        <f t="shared" si="7"/>
        <v>34.895944674114276</v>
      </c>
      <c r="S29" s="239">
        <f t="shared" si="7"/>
        <v>996.24795397838579</v>
      </c>
      <c r="T29" s="242">
        <f t="shared" si="8"/>
        <v>1031.1438986525</v>
      </c>
    </row>
    <row r="30" spans="1:20" x14ac:dyDescent="0.2">
      <c r="A30" s="237">
        <v>2042</v>
      </c>
      <c r="B30" s="238">
        <v>652.58706952281557</v>
      </c>
      <c r="C30" s="239">
        <v>0</v>
      </c>
      <c r="D30" s="240">
        <f t="shared" si="2"/>
        <v>652.58706952281557</v>
      </c>
      <c r="E30" s="238">
        <v>0</v>
      </c>
      <c r="F30" s="239">
        <v>0</v>
      </c>
      <c r="G30" s="240">
        <f t="shared" si="3"/>
        <v>0</v>
      </c>
      <c r="H30" s="238">
        <f t="shared" si="0"/>
        <v>652.58706952281557</v>
      </c>
      <c r="I30" s="239">
        <f t="shared" si="1"/>
        <v>0</v>
      </c>
      <c r="J30" s="240">
        <f t="shared" si="4"/>
        <v>652.58706952281557</v>
      </c>
      <c r="K30" s="251"/>
      <c r="L30" s="238">
        <f>+SUMIF('Nuevos Bonos'!$N:$N,'Perfil de vencimientos'!$A30,'Nuevos Bonos'!CX:CX)</f>
        <v>0</v>
      </c>
      <c r="M30" s="239">
        <f>+SUMIF('Nuevos Bonos'!$N:$N,'Perfil de vencimientos'!$A30,'Nuevos Bonos'!CY:CY)</f>
        <v>0</v>
      </c>
      <c r="N30" s="240">
        <f t="shared" si="5"/>
        <v>0</v>
      </c>
      <c r="O30" s="238">
        <v>0</v>
      </c>
      <c r="P30" s="239">
        <v>0</v>
      </c>
      <c r="Q30" s="240">
        <f t="shared" si="6"/>
        <v>0</v>
      </c>
      <c r="R30" s="239">
        <f t="shared" si="7"/>
        <v>0</v>
      </c>
      <c r="S30" s="239">
        <f t="shared" si="7"/>
        <v>0</v>
      </c>
      <c r="T30" s="242">
        <f t="shared" si="8"/>
        <v>0</v>
      </c>
    </row>
    <row r="31" spans="1:20" x14ac:dyDescent="0.2">
      <c r="A31" s="237">
        <v>2043</v>
      </c>
      <c r="B31" s="238">
        <v>652.58706952281557</v>
      </c>
      <c r="C31" s="239">
        <v>0</v>
      </c>
      <c r="D31" s="240">
        <f t="shared" si="2"/>
        <v>652.58706952281557</v>
      </c>
      <c r="E31" s="238">
        <v>0</v>
      </c>
      <c r="F31" s="239">
        <v>0</v>
      </c>
      <c r="G31" s="240">
        <f t="shared" si="3"/>
        <v>0</v>
      </c>
      <c r="H31" s="238">
        <f t="shared" si="0"/>
        <v>652.58706952281557</v>
      </c>
      <c r="I31" s="239">
        <f t="shared" si="1"/>
        <v>0</v>
      </c>
      <c r="J31" s="240">
        <f t="shared" si="4"/>
        <v>652.58706952281557</v>
      </c>
      <c r="K31" s="251"/>
      <c r="L31" s="238">
        <f>+SUMIF('Nuevos Bonos'!$N:$N,'Perfil de vencimientos'!$A31,'Nuevos Bonos'!CX:CX)</f>
        <v>0</v>
      </c>
      <c r="M31" s="239">
        <f>+SUMIF('Nuevos Bonos'!$N:$N,'Perfil de vencimientos'!$A31,'Nuevos Bonos'!CY:CY)</f>
        <v>0</v>
      </c>
      <c r="N31" s="240">
        <f t="shared" si="5"/>
        <v>0</v>
      </c>
      <c r="O31" s="238">
        <v>0</v>
      </c>
      <c r="P31" s="239">
        <v>0</v>
      </c>
      <c r="Q31" s="240">
        <f t="shared" si="6"/>
        <v>0</v>
      </c>
      <c r="R31" s="239">
        <f t="shared" si="7"/>
        <v>0</v>
      </c>
      <c r="S31" s="239">
        <f t="shared" si="7"/>
        <v>0</v>
      </c>
      <c r="T31" s="242">
        <f t="shared" si="8"/>
        <v>0</v>
      </c>
    </row>
    <row r="32" spans="1:20" x14ac:dyDescent="0.2">
      <c r="A32" s="237">
        <v>2044</v>
      </c>
      <c r="B32" s="238">
        <v>652.73810405180529</v>
      </c>
      <c r="C32" s="239">
        <v>0</v>
      </c>
      <c r="D32" s="240">
        <f t="shared" si="2"/>
        <v>652.73810405180529</v>
      </c>
      <c r="E32" s="238">
        <v>0</v>
      </c>
      <c r="F32" s="239">
        <v>0</v>
      </c>
      <c r="G32" s="240">
        <f t="shared" si="3"/>
        <v>0</v>
      </c>
      <c r="H32" s="238">
        <f t="shared" si="0"/>
        <v>652.73810405180529</v>
      </c>
      <c r="I32" s="239">
        <f t="shared" si="1"/>
        <v>0</v>
      </c>
      <c r="J32" s="240">
        <f t="shared" si="4"/>
        <v>652.73810405180529</v>
      </c>
      <c r="K32" s="251"/>
      <c r="L32" s="238">
        <f>+SUMIF('Nuevos Bonos'!$N:$N,'Perfil de vencimientos'!$A32,'Nuevos Bonos'!CX:CX)</f>
        <v>0</v>
      </c>
      <c r="M32" s="239">
        <f>+SUMIF('Nuevos Bonos'!$N:$N,'Perfil de vencimientos'!$A32,'Nuevos Bonos'!CY:CY)</f>
        <v>0</v>
      </c>
      <c r="N32" s="240">
        <f t="shared" si="5"/>
        <v>0</v>
      </c>
      <c r="O32" s="238">
        <v>0</v>
      </c>
      <c r="P32" s="239">
        <v>0</v>
      </c>
      <c r="Q32" s="240">
        <f t="shared" si="6"/>
        <v>0</v>
      </c>
      <c r="R32" s="239">
        <f t="shared" si="7"/>
        <v>0</v>
      </c>
      <c r="S32" s="239">
        <f t="shared" si="7"/>
        <v>0</v>
      </c>
      <c r="T32" s="242">
        <f t="shared" si="8"/>
        <v>0</v>
      </c>
    </row>
    <row r="33" spans="1:20" x14ac:dyDescent="0.2">
      <c r="A33" s="237">
        <v>2045</v>
      </c>
      <c r="B33" s="238">
        <v>652.58706952281557</v>
      </c>
      <c r="C33" s="239">
        <v>0</v>
      </c>
      <c r="D33" s="240">
        <f t="shared" si="2"/>
        <v>652.58706952281557</v>
      </c>
      <c r="E33" s="238">
        <v>0</v>
      </c>
      <c r="F33" s="239">
        <v>0</v>
      </c>
      <c r="G33" s="240">
        <f t="shared" si="3"/>
        <v>0</v>
      </c>
      <c r="H33" s="238">
        <f t="shared" si="0"/>
        <v>652.58706952281557</v>
      </c>
      <c r="I33" s="239">
        <f t="shared" si="1"/>
        <v>0</v>
      </c>
      <c r="J33" s="240">
        <f t="shared" si="4"/>
        <v>652.58706952281557</v>
      </c>
      <c r="K33" s="251"/>
      <c r="L33" s="238">
        <f>+SUMIF('Nuevos Bonos'!$N:$N,'Perfil de vencimientos'!$A33,'Nuevos Bonos'!CX:CX)</f>
        <v>0</v>
      </c>
      <c r="M33" s="239">
        <f>+SUMIF('Nuevos Bonos'!$N:$N,'Perfil de vencimientos'!$A33,'Nuevos Bonos'!CY:CY)</f>
        <v>0</v>
      </c>
      <c r="N33" s="240">
        <f t="shared" si="5"/>
        <v>0</v>
      </c>
      <c r="O33" s="238">
        <v>0</v>
      </c>
      <c r="P33" s="239">
        <v>0</v>
      </c>
      <c r="Q33" s="240">
        <f t="shared" si="6"/>
        <v>0</v>
      </c>
      <c r="R33" s="239">
        <f t="shared" si="7"/>
        <v>0</v>
      </c>
      <c r="S33" s="239">
        <f t="shared" si="7"/>
        <v>0</v>
      </c>
      <c r="T33" s="242">
        <f t="shared" si="8"/>
        <v>0</v>
      </c>
    </row>
    <row r="34" spans="1:20" x14ac:dyDescent="0.2">
      <c r="A34" s="237">
        <v>2046</v>
      </c>
      <c r="B34" s="238">
        <v>552.78782889781553</v>
      </c>
      <c r="C34" s="239">
        <v>2617.6849999999999</v>
      </c>
      <c r="D34" s="240">
        <f t="shared" si="2"/>
        <v>3170.4728288978154</v>
      </c>
      <c r="E34" s="238">
        <v>0</v>
      </c>
      <c r="F34" s="239">
        <v>0</v>
      </c>
      <c r="G34" s="240">
        <f t="shared" si="3"/>
        <v>0</v>
      </c>
      <c r="H34" s="238">
        <f t="shared" si="0"/>
        <v>552.78782889781553</v>
      </c>
      <c r="I34" s="239">
        <f t="shared" si="1"/>
        <v>2617.6849999999999</v>
      </c>
      <c r="J34" s="240">
        <f t="shared" si="4"/>
        <v>3170.4728288978154</v>
      </c>
      <c r="K34" s="251"/>
      <c r="L34" s="238">
        <f>+SUMIF('Nuevos Bonos'!$N:$N,'Perfil de vencimientos'!$A34,'Nuevos Bonos'!CX:CX)</f>
        <v>0</v>
      </c>
      <c r="M34" s="239">
        <f>+SUMIF('Nuevos Bonos'!$N:$N,'Perfil de vencimientos'!$A34,'Nuevos Bonos'!CY:CY)</f>
        <v>0</v>
      </c>
      <c r="N34" s="240">
        <f t="shared" si="5"/>
        <v>0</v>
      </c>
      <c r="O34" s="238">
        <v>0</v>
      </c>
      <c r="P34" s="239">
        <v>0</v>
      </c>
      <c r="Q34" s="240">
        <f t="shared" si="6"/>
        <v>0</v>
      </c>
      <c r="R34" s="239">
        <f t="shared" si="7"/>
        <v>0</v>
      </c>
      <c r="S34" s="239">
        <f t="shared" si="7"/>
        <v>0</v>
      </c>
      <c r="T34" s="242">
        <f t="shared" si="8"/>
        <v>0</v>
      </c>
    </row>
    <row r="35" spans="1:20" x14ac:dyDescent="0.2">
      <c r="A35" s="237">
        <v>2047</v>
      </c>
      <c r="B35" s="238">
        <v>452.98858827281549</v>
      </c>
      <c r="C35" s="239">
        <v>882.04163236504769</v>
      </c>
      <c r="D35" s="240">
        <f t="shared" si="2"/>
        <v>1335.0302206378633</v>
      </c>
      <c r="E35" s="238">
        <v>0</v>
      </c>
      <c r="F35" s="239">
        <v>0</v>
      </c>
      <c r="G35" s="240">
        <f t="shared" si="3"/>
        <v>0</v>
      </c>
      <c r="H35" s="238">
        <f t="shared" si="0"/>
        <v>452.98858827281549</v>
      </c>
      <c r="I35" s="239">
        <f t="shared" si="1"/>
        <v>882.04163236504769</v>
      </c>
      <c r="J35" s="240">
        <f t="shared" si="4"/>
        <v>1335.0302206378633</v>
      </c>
      <c r="K35" s="251"/>
      <c r="L35" s="238">
        <f>+SUMIF('Nuevos Bonos'!$N:$N,'Perfil de vencimientos'!$A35,'Nuevos Bonos'!CX:CX)</f>
        <v>0</v>
      </c>
      <c r="M35" s="239">
        <f>+SUMIF('Nuevos Bonos'!$N:$N,'Perfil de vencimientos'!$A35,'Nuevos Bonos'!CY:CY)</f>
        <v>0</v>
      </c>
      <c r="N35" s="240">
        <f t="shared" si="5"/>
        <v>0</v>
      </c>
      <c r="O35" s="238">
        <v>0</v>
      </c>
      <c r="P35" s="239">
        <v>0</v>
      </c>
      <c r="Q35" s="240">
        <f t="shared" si="6"/>
        <v>0</v>
      </c>
      <c r="R35" s="239">
        <f t="shared" si="7"/>
        <v>0</v>
      </c>
      <c r="S35" s="239">
        <f t="shared" si="7"/>
        <v>0</v>
      </c>
      <c r="T35" s="242">
        <f t="shared" si="8"/>
        <v>0</v>
      </c>
    </row>
    <row r="36" spans="1:20" x14ac:dyDescent="0.2">
      <c r="A36" s="237">
        <v>2048</v>
      </c>
      <c r="B36" s="238">
        <v>294.73598625</v>
      </c>
      <c r="C36" s="239">
        <v>3000</v>
      </c>
      <c r="D36" s="240">
        <f t="shared" si="2"/>
        <v>3294.7359862499998</v>
      </c>
      <c r="E36" s="238">
        <v>0</v>
      </c>
      <c r="F36" s="239">
        <v>0</v>
      </c>
      <c r="G36" s="240">
        <f t="shared" si="3"/>
        <v>0</v>
      </c>
      <c r="H36" s="238">
        <f t="shared" si="0"/>
        <v>294.73598625</v>
      </c>
      <c r="I36" s="239">
        <f t="shared" si="1"/>
        <v>3000</v>
      </c>
      <c r="J36" s="240">
        <f t="shared" si="4"/>
        <v>3294.7359862499998</v>
      </c>
      <c r="K36" s="251"/>
      <c r="L36" s="238">
        <f>+SUMIF('Nuevos Bonos'!$N:$N,'Perfil de vencimientos'!$A36,'Nuevos Bonos'!CX:CX)</f>
        <v>0</v>
      </c>
      <c r="M36" s="239">
        <f>+SUMIF('Nuevos Bonos'!$N:$N,'Perfil de vencimientos'!$A36,'Nuevos Bonos'!CY:CY)</f>
        <v>0</v>
      </c>
      <c r="N36" s="240">
        <f t="shared" si="5"/>
        <v>0</v>
      </c>
      <c r="O36" s="238">
        <v>0</v>
      </c>
      <c r="P36" s="239">
        <v>0</v>
      </c>
      <c r="Q36" s="240">
        <f t="shared" si="6"/>
        <v>0</v>
      </c>
      <c r="R36" s="239">
        <f t="shared" si="7"/>
        <v>0</v>
      </c>
      <c r="S36" s="239">
        <f t="shared" si="7"/>
        <v>0</v>
      </c>
      <c r="T36" s="242">
        <f t="shared" si="8"/>
        <v>0</v>
      </c>
    </row>
    <row r="37" spans="1:20" x14ac:dyDescent="0.2">
      <c r="A37" s="237" t="s">
        <v>78</v>
      </c>
      <c r="B37" s="238">
        <v>13125.352558124989</v>
      </c>
      <c r="C37" s="239">
        <v>2689.277</v>
      </c>
      <c r="D37" s="240">
        <f t="shared" si="2"/>
        <v>15814.629558124989</v>
      </c>
      <c r="E37" s="238">
        <v>0</v>
      </c>
      <c r="F37" s="239">
        <v>0</v>
      </c>
      <c r="G37" s="240">
        <f t="shared" si="3"/>
        <v>0</v>
      </c>
      <c r="H37" s="238">
        <f t="shared" si="0"/>
        <v>13125.352558124989</v>
      </c>
      <c r="I37" s="239">
        <f t="shared" si="1"/>
        <v>2689.277</v>
      </c>
      <c r="J37" s="240">
        <f t="shared" si="4"/>
        <v>15814.629558124989</v>
      </c>
      <c r="K37" s="251"/>
      <c r="L37" s="238">
        <f>+SUMIF('Nuevos Bonos'!$N:$N,'Perfil de vencimientos'!$A37,'Nuevos Bonos'!CX:CX)</f>
        <v>0</v>
      </c>
      <c r="M37" s="239">
        <f>+SUMIF('Nuevos Bonos'!$N:$N,'Perfil de vencimientos'!$A37,'Nuevos Bonos'!CY:CY)</f>
        <v>0</v>
      </c>
      <c r="N37" s="240">
        <f t="shared" si="5"/>
        <v>0</v>
      </c>
      <c r="O37" s="238">
        <v>0</v>
      </c>
      <c r="P37" s="239">
        <v>0</v>
      </c>
      <c r="Q37" s="240">
        <f t="shared" si="6"/>
        <v>0</v>
      </c>
      <c r="R37" s="239">
        <f t="shared" si="7"/>
        <v>0</v>
      </c>
      <c r="S37" s="239">
        <f t="shared" si="7"/>
        <v>0</v>
      </c>
      <c r="T37" s="242">
        <f t="shared" si="8"/>
        <v>0</v>
      </c>
    </row>
    <row r="38" spans="1:20" ht="20.25" customHeight="1" x14ac:dyDescent="0.2">
      <c r="A38" s="243" t="s">
        <v>79</v>
      </c>
      <c r="B38" s="244">
        <f>+SUM(B8:B37)</f>
        <v>59238.506833419204</v>
      </c>
      <c r="C38" s="245">
        <f t="shared" ref="C38:T38" si="9">+SUM(C8:C37)</f>
        <v>66071.634578966099</v>
      </c>
      <c r="D38" s="246">
        <f t="shared" si="9"/>
        <v>125310.14141238533</v>
      </c>
      <c r="E38" s="244">
        <f t="shared" si="9"/>
        <v>18105.156384797578</v>
      </c>
      <c r="F38" s="245">
        <f t="shared" si="9"/>
        <v>41717.131855349995</v>
      </c>
      <c r="G38" s="246">
        <f t="shared" si="9"/>
        <v>59822.288240147573</v>
      </c>
      <c r="H38" s="244">
        <f t="shared" si="9"/>
        <v>77343.663218216767</v>
      </c>
      <c r="I38" s="245">
        <f t="shared" si="9"/>
        <v>107788.76643431603</v>
      </c>
      <c r="J38" s="246">
        <f t="shared" si="9"/>
        <v>185132.42965253282</v>
      </c>
      <c r="K38" s="252"/>
      <c r="L38" s="244">
        <f t="shared" si="9"/>
        <v>23190.80364400836</v>
      </c>
      <c r="M38" s="245">
        <f t="shared" si="9"/>
        <v>67595.830497366944</v>
      </c>
      <c r="N38" s="246">
        <f t="shared" si="9"/>
        <v>90786.634141375282</v>
      </c>
      <c r="O38" s="244">
        <f t="shared" si="9"/>
        <v>11765.313263474478</v>
      </c>
      <c r="P38" s="245">
        <f t="shared" si="9"/>
        <v>43018.477796067295</v>
      </c>
      <c r="Q38" s="246">
        <f t="shared" si="9"/>
        <v>54783.791059541771</v>
      </c>
      <c r="R38" s="245">
        <f t="shared" si="9"/>
        <v>34956.116907482836</v>
      </c>
      <c r="S38" s="245">
        <f t="shared" si="9"/>
        <v>110614.30829343424</v>
      </c>
      <c r="T38" s="246">
        <f t="shared" si="9"/>
        <v>145570.42520091703</v>
      </c>
    </row>
    <row r="40" spans="1:20" x14ac:dyDescent="0.2">
      <c r="A40" s="231" t="s">
        <v>131</v>
      </c>
      <c r="B40" s="231"/>
      <c r="C40" s="231"/>
      <c r="D40" s="231"/>
    </row>
    <row r="41" spans="1:20" x14ac:dyDescent="0.2">
      <c r="A41" s="231"/>
      <c r="B41" s="231"/>
      <c r="C41" s="231"/>
      <c r="D41" s="231"/>
    </row>
  </sheetData>
  <mergeCells count="6">
    <mergeCell ref="R6:T6"/>
    <mergeCell ref="B6:D6"/>
    <mergeCell ref="E6:G6"/>
    <mergeCell ref="H6:J6"/>
    <mergeCell ref="L6:N6"/>
    <mergeCell ref="O6:Q6"/>
  </mergeCells>
  <pageMargins left="0.7" right="0.7" top="0.75" bottom="0.75" header="0.3" footer="0.3"/>
  <pageSetup orientation="portrait" r:id="rId1"/>
  <ignoredErrors>
    <ignoredError sqref="D8:D3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FC74-A699-410C-BD01-149DF5B743E9}">
  <sheetPr codeName="Hoja9"/>
  <dimension ref="A1:DB238"/>
  <sheetViews>
    <sheetView showGridLines="0" zoomScaleNormal="100" workbookViewId="0">
      <pane xSplit="1" topLeftCell="B1" activePane="topRight" state="frozen"/>
      <selection activeCell="A16" sqref="A16"/>
      <selection pane="topRight"/>
    </sheetView>
  </sheetViews>
  <sheetFormatPr baseColWidth="10" defaultColWidth="11.42578125" defaultRowHeight="12.75" x14ac:dyDescent="0.25"/>
  <cols>
    <col min="1" max="1" width="25.7109375" style="14" customWidth="1"/>
    <col min="2" max="13" width="11.28515625" style="14" customWidth="1"/>
    <col min="14" max="14" width="9.85546875" style="14" customWidth="1"/>
    <col min="15" max="15" width="12" style="14" customWidth="1"/>
    <col min="16" max="60" width="10" style="5" customWidth="1"/>
    <col min="61" max="61" width="11.42578125" style="14"/>
    <col min="62" max="62" width="12.42578125" style="14" bestFit="1" customWidth="1"/>
    <col min="63" max="63" width="11.42578125" style="14"/>
    <col min="64" max="64" width="3.7109375" style="14" customWidth="1"/>
    <col min="65" max="100" width="11.42578125" style="14"/>
    <col min="101" max="101" width="3.7109375" style="14" customWidth="1"/>
    <col min="102" max="16384" width="11.42578125" style="14"/>
  </cols>
  <sheetData>
    <row r="1" spans="1:79" s="37" customFormat="1" ht="15.75" x14ac:dyDescent="0.2">
      <c r="A1" s="23" t="s">
        <v>137</v>
      </c>
      <c r="B1" s="55"/>
      <c r="C1" s="55"/>
      <c r="J1" s="21"/>
      <c r="K1" s="56" t="s">
        <v>11</v>
      </c>
      <c r="L1" s="56">
        <v>12</v>
      </c>
      <c r="M1" s="56">
        <v>1</v>
      </c>
      <c r="N1" s="56"/>
      <c r="O1" s="56"/>
      <c r="P1" s="203" t="s">
        <v>86</v>
      </c>
      <c r="Q1" s="205">
        <v>44046</v>
      </c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</row>
    <row r="2" spans="1:79" x14ac:dyDescent="0.25">
      <c r="A2" s="14" t="s">
        <v>138</v>
      </c>
      <c r="K2" s="56" t="s">
        <v>12</v>
      </c>
      <c r="L2" s="56">
        <v>4</v>
      </c>
      <c r="M2" s="56">
        <v>3</v>
      </c>
      <c r="N2" s="91"/>
      <c r="O2" s="91"/>
      <c r="P2" s="203" t="s">
        <v>13</v>
      </c>
      <c r="Q2" s="204">
        <v>0.85029999999999994</v>
      </c>
    </row>
    <row r="3" spans="1:79" x14ac:dyDescent="0.25">
      <c r="A3" s="14" t="s">
        <v>14</v>
      </c>
      <c r="K3" s="56" t="s">
        <v>0</v>
      </c>
      <c r="L3" s="56">
        <v>2</v>
      </c>
      <c r="M3" s="56">
        <v>6</v>
      </c>
      <c r="N3" s="91"/>
      <c r="O3" s="91"/>
      <c r="P3" s="203" t="s">
        <v>15</v>
      </c>
      <c r="Q3" s="204">
        <v>0.91769999999999996</v>
      </c>
    </row>
    <row r="4" spans="1:79" x14ac:dyDescent="0.25">
      <c r="B4" s="214"/>
      <c r="K4" s="56" t="s">
        <v>16</v>
      </c>
      <c r="L4" s="56">
        <v>1</v>
      </c>
      <c r="M4" s="56">
        <v>12</v>
      </c>
      <c r="N4" s="91"/>
      <c r="O4" s="91"/>
      <c r="P4" s="92"/>
      <c r="Q4" s="92"/>
    </row>
    <row r="5" spans="1:79" ht="15" customHeight="1" x14ac:dyDescent="0.25">
      <c r="A5" s="93" t="s">
        <v>17</v>
      </c>
      <c r="B5" s="256">
        <v>0.1</v>
      </c>
      <c r="C5" s="94"/>
      <c r="P5" s="37"/>
      <c r="Q5" s="90"/>
      <c r="R5" s="90"/>
      <c r="S5" s="90"/>
      <c r="T5" s="90"/>
      <c r="U5" s="90"/>
      <c r="V5" s="90"/>
      <c r="W5" s="90"/>
      <c r="X5" s="37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37"/>
      <c r="BV5" s="37"/>
      <c r="BW5" s="37"/>
      <c r="BX5" s="37"/>
      <c r="BY5" s="37"/>
      <c r="BZ5" s="37"/>
      <c r="CA5" s="37"/>
    </row>
    <row r="6" spans="1:79" s="24" customFormat="1" ht="24.75" customHeight="1" x14ac:dyDescent="0.25">
      <c r="A6" s="119" t="s">
        <v>18</v>
      </c>
      <c r="B6" s="120" t="s">
        <v>98</v>
      </c>
      <c r="C6" s="120" t="s">
        <v>99</v>
      </c>
      <c r="D6" s="121" t="s">
        <v>1</v>
      </c>
      <c r="E6" s="121" t="s">
        <v>6</v>
      </c>
      <c r="F6" s="121" t="s">
        <v>2</v>
      </c>
      <c r="G6" s="121" t="s">
        <v>7</v>
      </c>
      <c r="H6" s="121" t="s">
        <v>3</v>
      </c>
      <c r="I6" s="121" t="s">
        <v>8</v>
      </c>
      <c r="J6" s="121" t="s">
        <v>4</v>
      </c>
      <c r="K6" s="121" t="s">
        <v>9</v>
      </c>
      <c r="L6" s="121" t="s">
        <v>5</v>
      </c>
      <c r="M6" s="121" t="s">
        <v>10</v>
      </c>
      <c r="N6" s="122"/>
      <c r="O6" s="107"/>
    </row>
    <row r="7" spans="1:79" x14ac:dyDescent="0.25">
      <c r="A7" s="97" t="s">
        <v>19</v>
      </c>
      <c r="B7" s="98">
        <v>44078</v>
      </c>
      <c r="C7" s="98">
        <f>$B$7</f>
        <v>44078</v>
      </c>
      <c r="D7" s="98">
        <f t="shared" ref="D7:M7" si="0">$B$7</f>
        <v>44078</v>
      </c>
      <c r="E7" s="98">
        <f t="shared" si="0"/>
        <v>44078</v>
      </c>
      <c r="F7" s="98">
        <f t="shared" si="0"/>
        <v>44078</v>
      </c>
      <c r="G7" s="98">
        <f t="shared" si="0"/>
        <v>44078</v>
      </c>
      <c r="H7" s="98">
        <f t="shared" si="0"/>
        <v>44078</v>
      </c>
      <c r="I7" s="98">
        <f t="shared" si="0"/>
        <v>44078</v>
      </c>
      <c r="J7" s="98">
        <f t="shared" si="0"/>
        <v>44078</v>
      </c>
      <c r="K7" s="98">
        <f t="shared" si="0"/>
        <v>44078</v>
      </c>
      <c r="L7" s="98">
        <f t="shared" si="0"/>
        <v>44078</v>
      </c>
      <c r="M7" s="98">
        <f t="shared" si="0"/>
        <v>44078</v>
      </c>
      <c r="N7" s="96"/>
    </row>
    <row r="8" spans="1:79" x14ac:dyDescent="0.25">
      <c r="A8" s="97" t="s">
        <v>20</v>
      </c>
      <c r="B8" s="98">
        <v>47308</v>
      </c>
      <c r="C8" s="98">
        <v>47308</v>
      </c>
      <c r="D8" s="98">
        <v>47673</v>
      </c>
      <c r="E8" s="98">
        <v>47673</v>
      </c>
      <c r="F8" s="98">
        <v>49499</v>
      </c>
      <c r="G8" s="98">
        <v>49499</v>
      </c>
      <c r="H8" s="98">
        <v>50414</v>
      </c>
      <c r="I8" s="98">
        <v>50414</v>
      </c>
      <c r="J8" s="98">
        <v>51691</v>
      </c>
      <c r="K8" s="98">
        <v>51691</v>
      </c>
      <c r="L8" s="98">
        <v>53517</v>
      </c>
      <c r="M8" s="98">
        <v>53517</v>
      </c>
      <c r="N8" s="96"/>
    </row>
    <row r="9" spans="1:79" x14ac:dyDescent="0.25">
      <c r="A9" s="97" t="s">
        <v>21</v>
      </c>
      <c r="B9" s="98" t="s">
        <v>22</v>
      </c>
      <c r="C9" s="98" t="s">
        <v>13</v>
      </c>
      <c r="D9" s="98" t="s">
        <v>22</v>
      </c>
      <c r="E9" s="98" t="s">
        <v>13</v>
      </c>
      <c r="F9" s="98" t="s">
        <v>22</v>
      </c>
      <c r="G9" s="98" t="s">
        <v>13</v>
      </c>
      <c r="H9" s="98" t="s">
        <v>22</v>
      </c>
      <c r="I9" s="98" t="s">
        <v>13</v>
      </c>
      <c r="J9" s="98" t="s">
        <v>22</v>
      </c>
      <c r="K9" s="98" t="s">
        <v>13</v>
      </c>
      <c r="L9" s="98" t="s">
        <v>22</v>
      </c>
      <c r="M9" s="98" t="s">
        <v>13</v>
      </c>
      <c r="N9" s="96"/>
    </row>
    <row r="10" spans="1:79" x14ac:dyDescent="0.25">
      <c r="A10" s="97" t="s">
        <v>23</v>
      </c>
      <c r="B10" s="99">
        <f>+YEARFRAC(B7,B8)</f>
        <v>8.8472222222222214</v>
      </c>
      <c r="C10" s="99">
        <f>+YEARFRAC(C7,C8)</f>
        <v>8.8472222222222214</v>
      </c>
      <c r="D10" s="99">
        <f>+YEARFRAC(D7,D8)</f>
        <v>9.8472222222222214</v>
      </c>
      <c r="E10" s="99">
        <f t="shared" ref="E10:M10" si="1">+YEARFRAC(E7,E8)</f>
        <v>9.8472222222222214</v>
      </c>
      <c r="F10" s="99">
        <f t="shared" si="1"/>
        <v>14.847222222222221</v>
      </c>
      <c r="G10" s="99">
        <f t="shared" si="1"/>
        <v>14.847222222222221</v>
      </c>
      <c r="H10" s="99">
        <f t="shared" si="1"/>
        <v>17.347222222222221</v>
      </c>
      <c r="I10" s="99">
        <f t="shared" si="1"/>
        <v>17.347222222222221</v>
      </c>
      <c r="J10" s="99">
        <f t="shared" si="1"/>
        <v>20.847222222222221</v>
      </c>
      <c r="K10" s="99">
        <f t="shared" si="1"/>
        <v>20.847222222222221</v>
      </c>
      <c r="L10" s="99">
        <f t="shared" si="1"/>
        <v>25.847222222222221</v>
      </c>
      <c r="M10" s="99">
        <f t="shared" si="1"/>
        <v>25.847222222222221</v>
      </c>
      <c r="N10" s="96"/>
    </row>
    <row r="11" spans="1:79" x14ac:dyDescent="0.25">
      <c r="A11" s="97" t="s">
        <v>24</v>
      </c>
      <c r="B11" s="98">
        <v>44386</v>
      </c>
      <c r="C11" s="98">
        <f>B11</f>
        <v>44386</v>
      </c>
      <c r="D11" s="98">
        <f t="shared" ref="D11:M11" si="2">C11</f>
        <v>44386</v>
      </c>
      <c r="E11" s="98">
        <f t="shared" si="2"/>
        <v>44386</v>
      </c>
      <c r="F11" s="98">
        <f t="shared" si="2"/>
        <v>44386</v>
      </c>
      <c r="G11" s="98">
        <f t="shared" si="2"/>
        <v>44386</v>
      </c>
      <c r="H11" s="98">
        <f t="shared" si="2"/>
        <v>44386</v>
      </c>
      <c r="I11" s="98">
        <f t="shared" si="2"/>
        <v>44386</v>
      </c>
      <c r="J11" s="98">
        <f t="shared" si="2"/>
        <v>44386</v>
      </c>
      <c r="K11" s="98">
        <f t="shared" si="2"/>
        <v>44386</v>
      </c>
      <c r="L11" s="98">
        <f t="shared" si="2"/>
        <v>44386</v>
      </c>
      <c r="M11" s="98">
        <f t="shared" si="2"/>
        <v>44386</v>
      </c>
      <c r="N11" s="96"/>
    </row>
    <row r="12" spans="1:79" x14ac:dyDescent="0.25">
      <c r="A12" s="97" t="s">
        <v>25</v>
      </c>
      <c r="B12" s="100" t="s">
        <v>26</v>
      </c>
      <c r="C12" s="100" t="s">
        <v>26</v>
      </c>
      <c r="D12" s="100" t="s">
        <v>26</v>
      </c>
      <c r="E12" s="100" t="s">
        <v>26</v>
      </c>
      <c r="F12" s="100" t="s">
        <v>26</v>
      </c>
      <c r="G12" s="100" t="s">
        <v>26</v>
      </c>
      <c r="H12" s="100" t="s">
        <v>26</v>
      </c>
      <c r="I12" s="100" t="s">
        <v>26</v>
      </c>
      <c r="J12" s="100" t="s">
        <v>26</v>
      </c>
      <c r="K12" s="100" t="s">
        <v>26</v>
      </c>
      <c r="L12" s="100" t="s">
        <v>26</v>
      </c>
      <c r="M12" s="100" t="s">
        <v>26</v>
      </c>
      <c r="N12" s="96"/>
    </row>
    <row r="13" spans="1:79" x14ac:dyDescent="0.25">
      <c r="A13" s="97" t="s">
        <v>27</v>
      </c>
      <c r="B13" s="98" t="s">
        <v>0</v>
      </c>
      <c r="C13" s="98" t="s">
        <v>0</v>
      </c>
      <c r="D13" s="98" t="s">
        <v>0</v>
      </c>
      <c r="E13" s="98" t="s">
        <v>0</v>
      </c>
      <c r="F13" s="98" t="s">
        <v>0</v>
      </c>
      <c r="G13" s="98" t="s">
        <v>0</v>
      </c>
      <c r="H13" s="98" t="s">
        <v>0</v>
      </c>
      <c r="I13" s="98" t="s">
        <v>0</v>
      </c>
      <c r="J13" s="98" t="s">
        <v>0</v>
      </c>
      <c r="K13" s="98" t="s">
        <v>0</v>
      </c>
      <c r="L13" s="98" t="s">
        <v>0</v>
      </c>
      <c r="M13" s="98" t="s">
        <v>0</v>
      </c>
      <c r="N13" s="96"/>
      <c r="O13" s="101"/>
    </row>
    <row r="14" spans="1:79" x14ac:dyDescent="0.25">
      <c r="A14" s="97" t="s">
        <v>141</v>
      </c>
      <c r="B14" s="102">
        <v>10</v>
      </c>
      <c r="C14" s="102">
        <v>10</v>
      </c>
      <c r="D14" s="99">
        <v>12.5</v>
      </c>
      <c r="E14" s="99">
        <v>12.5</v>
      </c>
      <c r="F14" s="102">
        <v>10</v>
      </c>
      <c r="G14" s="102">
        <v>10</v>
      </c>
      <c r="H14" s="102">
        <v>22</v>
      </c>
      <c r="I14" s="102">
        <v>22</v>
      </c>
      <c r="J14" s="102">
        <v>28</v>
      </c>
      <c r="K14" s="102">
        <v>28</v>
      </c>
      <c r="L14" s="102">
        <v>44</v>
      </c>
      <c r="M14" s="102">
        <v>44</v>
      </c>
      <c r="N14" s="96"/>
      <c r="O14" s="101"/>
    </row>
    <row r="15" spans="1:79" x14ac:dyDescent="0.25">
      <c r="A15" s="97" t="s">
        <v>28</v>
      </c>
      <c r="B15" s="98">
        <v>45666</v>
      </c>
      <c r="C15" s="98">
        <v>45666</v>
      </c>
      <c r="D15" s="98">
        <v>45482</v>
      </c>
      <c r="E15" s="98">
        <v>45482</v>
      </c>
      <c r="F15" s="98">
        <v>47857</v>
      </c>
      <c r="G15" s="98">
        <v>47857</v>
      </c>
      <c r="H15" s="98">
        <v>46577</v>
      </c>
      <c r="I15" s="98">
        <v>46577</v>
      </c>
      <c r="J15" s="98">
        <v>46761</v>
      </c>
      <c r="K15" s="98">
        <v>46761</v>
      </c>
      <c r="L15" s="98">
        <v>45666</v>
      </c>
      <c r="M15" s="98">
        <v>45666</v>
      </c>
      <c r="N15" s="96"/>
      <c r="O15" s="101"/>
    </row>
    <row r="16" spans="1:79" x14ac:dyDescent="0.25">
      <c r="A16" s="103" t="s">
        <v>139</v>
      </c>
      <c r="B16" s="104">
        <v>100</v>
      </c>
      <c r="C16" s="104">
        <v>100</v>
      </c>
      <c r="D16" s="104">
        <v>97</v>
      </c>
      <c r="E16" s="104">
        <v>97</v>
      </c>
      <c r="F16" s="104">
        <v>97</v>
      </c>
      <c r="G16" s="104">
        <v>97</v>
      </c>
      <c r="H16" s="104">
        <v>100</v>
      </c>
      <c r="I16" s="104">
        <v>100</v>
      </c>
      <c r="J16" s="104">
        <v>100</v>
      </c>
      <c r="K16" s="104">
        <v>100</v>
      </c>
      <c r="L16" s="104">
        <v>97</v>
      </c>
      <c r="M16" s="104">
        <v>97</v>
      </c>
      <c r="N16" s="96"/>
    </row>
    <row r="17" spans="1:106" s="5" customFormat="1" ht="21" customHeight="1" x14ac:dyDescent="0.25">
      <c r="A17" s="95" t="s">
        <v>29</v>
      </c>
      <c r="B17" s="105">
        <f>$S$78</f>
        <v>58.541996711273299</v>
      </c>
      <c r="C17" s="105">
        <f>$W$78</f>
        <v>56.183492193270595</v>
      </c>
      <c r="D17" s="105">
        <f>$AA$78</f>
        <v>53.72924439746275</v>
      </c>
      <c r="E17" s="105">
        <f>$AE$78</f>
        <v>51.268295412138855</v>
      </c>
      <c r="F17" s="105">
        <f>$AI$78</f>
        <v>51.857073594689155</v>
      </c>
      <c r="G17" s="105">
        <f>$AM$78</f>
        <v>47.831028865334524</v>
      </c>
      <c r="H17" s="105">
        <f>$AQ$78</f>
        <v>59.46928226786499</v>
      </c>
      <c r="I17" s="105">
        <f>$AU$78</f>
        <v>55.214736390334153</v>
      </c>
      <c r="J17" s="105">
        <f>$AY$78</f>
        <v>52.488439364001735</v>
      </c>
      <c r="K17" s="105">
        <f>$BC$78</f>
        <v>48.774168501138483</v>
      </c>
      <c r="L17" s="105">
        <f>$BG$78</f>
        <v>50.821762672544445</v>
      </c>
      <c r="M17" s="105">
        <f>$BK$78</f>
        <v>47.065980455066168</v>
      </c>
      <c r="N17" s="96"/>
      <c r="O17" s="14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</row>
    <row r="18" spans="1:106" x14ac:dyDescent="0.25">
      <c r="A18" s="5"/>
      <c r="B18" s="5"/>
      <c r="C18" s="5"/>
    </row>
    <row r="19" spans="1:106" ht="29.25" customHeight="1" x14ac:dyDescent="0.25">
      <c r="A19" s="95" t="s">
        <v>140</v>
      </c>
      <c r="B19" s="105">
        <f>+HLOOKUP(B6,'Eleccion de canje'!$F$5:$Q$27,23,FALSE)</f>
        <v>2095.1075902893995</v>
      </c>
      <c r="C19" s="105">
        <f>+HLOOKUP(C6,'Eleccion de canje'!$F$5:$Q$27,23,FALSE)</f>
        <v>574.40111776219908</v>
      </c>
      <c r="D19" s="105">
        <f>+HLOOKUP(D6,'Eleccion de canje'!$F$5:$Q$27,23,FALSE)</f>
        <v>13800</v>
      </c>
      <c r="E19" s="105">
        <f>+HLOOKUP(E6,'Eleccion de canje'!$F$5:$Q$27,23,FALSE)</f>
        <v>3100</v>
      </c>
      <c r="F19" s="105">
        <f>+HLOOKUP(F6,'Eleccion de canje'!$F$5:$Q$27,23,FALSE)</f>
        <v>20089.677640000002</v>
      </c>
      <c r="G19" s="105">
        <f>+HLOOKUP(G6,'Eleccion de canje'!$F$5:$Q$27,23,FALSE)</f>
        <v>2352.0035414623517</v>
      </c>
      <c r="H19" s="105">
        <f>+HLOOKUP(H6,'Eleccion de canje'!$F$5:$Q$27,23,FALSE)</f>
        <v>5092.461284</v>
      </c>
      <c r="I19" s="105">
        <f>+HLOOKUP(I6,'Eleccion de canje'!$F$5:$Q$27,23,FALSE)</f>
        <v>5769.0548710000003</v>
      </c>
      <c r="J19" s="105">
        <f>+HLOOKUP(J6,'Eleccion de canje'!$F$5:$Q$27,23,FALSE)</f>
        <v>5033.5991210000002</v>
      </c>
      <c r="K19" s="105">
        <f>+HLOOKUP(K6,'Eleccion de canje'!$F$5:$Q$27,23,FALSE)</f>
        <v>6473.2230979999995</v>
      </c>
      <c r="L19" s="105">
        <f>+HLOOKUP(L6,'Eleccion de canje'!$F$5:$Q$27,23,FALSE)</f>
        <v>0</v>
      </c>
      <c r="M19" s="105">
        <f>+HLOOKUP(M6,'Eleccion de canje'!$F$5:$Q$27,23,FALSE)</f>
        <v>0</v>
      </c>
    </row>
    <row r="20" spans="1:106" x14ac:dyDescent="0.25">
      <c r="A20" s="5"/>
      <c r="B20" s="5"/>
      <c r="C20" s="5"/>
    </row>
    <row r="21" spans="1:106" x14ac:dyDescent="0.25">
      <c r="A21" s="5"/>
      <c r="B21" s="5"/>
      <c r="C21" s="5"/>
    </row>
    <row r="22" spans="1:106" s="258" customFormat="1" ht="15.75" x14ac:dyDescent="0.25">
      <c r="A22" s="257"/>
      <c r="B22" s="257"/>
      <c r="C22" s="257"/>
      <c r="P22" s="259" t="s">
        <v>123</v>
      </c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M22" s="259" t="s">
        <v>124</v>
      </c>
    </row>
    <row r="23" spans="1:106" s="157" customFormat="1" x14ac:dyDescent="0.25">
      <c r="A23" s="155"/>
      <c r="B23" s="155"/>
      <c r="C23" s="155"/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P23" s="309" t="str">
        <f>B6</f>
        <v>USDI 2029</v>
      </c>
      <c r="Q23" s="308"/>
      <c r="R23" s="308"/>
      <c r="S23" s="310"/>
      <c r="T23" s="309" t="str">
        <f>C6</f>
        <v>EURI 2029</v>
      </c>
      <c r="U23" s="308"/>
      <c r="V23" s="308"/>
      <c r="W23" s="310"/>
      <c r="X23" s="309" t="str">
        <f>D6</f>
        <v>USD 2030</v>
      </c>
      <c r="Y23" s="308"/>
      <c r="Z23" s="308"/>
      <c r="AA23" s="310"/>
      <c r="AB23" s="308" t="str">
        <f>E6</f>
        <v>EUR 2030</v>
      </c>
      <c r="AC23" s="308"/>
      <c r="AD23" s="308"/>
      <c r="AE23" s="310"/>
      <c r="AF23" s="308" t="str">
        <f>F6</f>
        <v>USD 2035</v>
      </c>
      <c r="AG23" s="308"/>
      <c r="AH23" s="308"/>
      <c r="AI23" s="310"/>
      <c r="AJ23" s="308" t="str">
        <f>G6</f>
        <v>EUR 2035</v>
      </c>
      <c r="AK23" s="308"/>
      <c r="AL23" s="308"/>
      <c r="AM23" s="310"/>
      <c r="AN23" s="308" t="str">
        <f>H6</f>
        <v>USD 2038</v>
      </c>
      <c r="AO23" s="308"/>
      <c r="AP23" s="308"/>
      <c r="AQ23" s="310"/>
      <c r="AR23" s="308" t="str">
        <f>I6</f>
        <v>EUR 2038</v>
      </c>
      <c r="AS23" s="308"/>
      <c r="AT23" s="308"/>
      <c r="AU23" s="310"/>
      <c r="AV23" s="308" t="str">
        <f>J6</f>
        <v>USD 2041</v>
      </c>
      <c r="AW23" s="308"/>
      <c r="AX23" s="308"/>
      <c r="AY23" s="310"/>
      <c r="AZ23" s="308" t="str">
        <f>K6</f>
        <v>EUR 2041</v>
      </c>
      <c r="BA23" s="308"/>
      <c r="BB23" s="308"/>
      <c r="BC23" s="310"/>
      <c r="BD23" s="308" t="str">
        <f>L6</f>
        <v>USD 2046</v>
      </c>
      <c r="BE23" s="308"/>
      <c r="BF23" s="308"/>
      <c r="BG23" s="310"/>
      <c r="BH23" s="308" t="str">
        <f>M6</f>
        <v>EUR 2046</v>
      </c>
      <c r="BI23" s="308"/>
      <c r="BJ23" s="308"/>
      <c r="BK23" s="310"/>
      <c r="BL23" s="158"/>
      <c r="BM23" s="309" t="str">
        <f>B6</f>
        <v>USDI 2029</v>
      </c>
      <c r="BN23" s="308"/>
      <c r="BO23" s="308"/>
      <c r="BP23" s="309" t="str">
        <f>C6</f>
        <v>EURI 2029</v>
      </c>
      <c r="BQ23" s="308"/>
      <c r="BR23" s="308"/>
      <c r="BS23" s="309" t="str">
        <f>D6</f>
        <v>USD 2030</v>
      </c>
      <c r="BT23" s="308"/>
      <c r="BU23" s="308"/>
      <c r="BV23" s="308" t="str">
        <f>E6</f>
        <v>EUR 2030</v>
      </c>
      <c r="BW23" s="308"/>
      <c r="BX23" s="308"/>
      <c r="BY23" s="308" t="str">
        <f>F6</f>
        <v>USD 2035</v>
      </c>
      <c r="BZ23" s="308"/>
      <c r="CA23" s="308"/>
      <c r="CB23" s="308" t="str">
        <f>G6</f>
        <v>EUR 2035</v>
      </c>
      <c r="CC23" s="308"/>
      <c r="CD23" s="308"/>
      <c r="CE23" s="308" t="str">
        <f>H6</f>
        <v>USD 2038</v>
      </c>
      <c r="CF23" s="308"/>
      <c r="CG23" s="308"/>
      <c r="CH23" s="308" t="str">
        <f>I6</f>
        <v>EUR 2038</v>
      </c>
      <c r="CI23" s="308"/>
      <c r="CJ23" s="308"/>
      <c r="CK23" s="308" t="str">
        <f>J6</f>
        <v>USD 2041</v>
      </c>
      <c r="CL23" s="308"/>
      <c r="CM23" s="308"/>
      <c r="CN23" s="308" t="str">
        <f>K6</f>
        <v>EUR 2041</v>
      </c>
      <c r="CO23" s="308"/>
      <c r="CP23" s="308"/>
      <c r="CQ23" s="308" t="str">
        <f>L6</f>
        <v>USD 2046</v>
      </c>
      <c r="CR23" s="308"/>
      <c r="CS23" s="308"/>
      <c r="CT23" s="308" t="str">
        <f>M6</f>
        <v>EUR 2046</v>
      </c>
      <c r="CU23" s="308"/>
      <c r="CV23" s="308"/>
      <c r="CX23" s="308" t="s">
        <v>100</v>
      </c>
      <c r="CY23" s="308"/>
      <c r="CZ23" s="308"/>
      <c r="DA23" s="308" t="s">
        <v>101</v>
      </c>
      <c r="DB23" s="308"/>
    </row>
    <row r="24" spans="1:106" s="15" customFormat="1" ht="25.5" x14ac:dyDescent="0.25">
      <c r="A24" s="133" t="s">
        <v>30</v>
      </c>
      <c r="B24" s="311" t="s">
        <v>31</v>
      </c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3"/>
      <c r="N24" s="151" t="s">
        <v>77</v>
      </c>
      <c r="O24" s="151" t="s">
        <v>32</v>
      </c>
      <c r="P24" s="151" t="s">
        <v>33</v>
      </c>
      <c r="Q24" s="152" t="s">
        <v>34</v>
      </c>
      <c r="R24" s="152" t="s">
        <v>35</v>
      </c>
      <c r="S24" s="153" t="s">
        <v>36</v>
      </c>
      <c r="T24" s="151" t="s">
        <v>33</v>
      </c>
      <c r="U24" s="152" t="s">
        <v>34</v>
      </c>
      <c r="V24" s="152" t="s">
        <v>35</v>
      </c>
      <c r="W24" s="153" t="s">
        <v>36</v>
      </c>
      <c r="X24" s="151" t="s">
        <v>33</v>
      </c>
      <c r="Y24" s="152" t="s">
        <v>34</v>
      </c>
      <c r="Z24" s="152" t="s">
        <v>35</v>
      </c>
      <c r="AA24" s="153" t="s">
        <v>36</v>
      </c>
      <c r="AB24" s="151" t="s">
        <v>33</v>
      </c>
      <c r="AC24" s="152" t="s">
        <v>34</v>
      </c>
      <c r="AD24" s="152" t="s">
        <v>35</v>
      </c>
      <c r="AE24" s="153" t="s">
        <v>36</v>
      </c>
      <c r="AF24" s="151" t="s">
        <v>33</v>
      </c>
      <c r="AG24" s="152" t="s">
        <v>34</v>
      </c>
      <c r="AH24" s="152" t="s">
        <v>35</v>
      </c>
      <c r="AI24" s="153" t="s">
        <v>36</v>
      </c>
      <c r="AJ24" s="151" t="s">
        <v>33</v>
      </c>
      <c r="AK24" s="152" t="s">
        <v>34</v>
      </c>
      <c r="AL24" s="152" t="s">
        <v>35</v>
      </c>
      <c r="AM24" s="153" t="s">
        <v>36</v>
      </c>
      <c r="AN24" s="151" t="s">
        <v>33</v>
      </c>
      <c r="AO24" s="152" t="s">
        <v>34</v>
      </c>
      <c r="AP24" s="152" t="s">
        <v>35</v>
      </c>
      <c r="AQ24" s="153" t="s">
        <v>36</v>
      </c>
      <c r="AR24" s="151" t="s">
        <v>33</v>
      </c>
      <c r="AS24" s="152" t="s">
        <v>34</v>
      </c>
      <c r="AT24" s="152" t="s">
        <v>35</v>
      </c>
      <c r="AU24" s="153" t="s">
        <v>36</v>
      </c>
      <c r="AV24" s="151" t="s">
        <v>33</v>
      </c>
      <c r="AW24" s="152" t="s">
        <v>34</v>
      </c>
      <c r="AX24" s="152" t="s">
        <v>35</v>
      </c>
      <c r="AY24" s="153" t="s">
        <v>36</v>
      </c>
      <c r="AZ24" s="151" t="s">
        <v>33</v>
      </c>
      <c r="BA24" s="152" t="s">
        <v>34</v>
      </c>
      <c r="BB24" s="152" t="s">
        <v>35</v>
      </c>
      <c r="BC24" s="153" t="s">
        <v>36</v>
      </c>
      <c r="BD24" s="151" t="s">
        <v>33</v>
      </c>
      <c r="BE24" s="152" t="s">
        <v>34</v>
      </c>
      <c r="BF24" s="152" t="s">
        <v>35</v>
      </c>
      <c r="BG24" s="153" t="s">
        <v>36</v>
      </c>
      <c r="BH24" s="151" t="s">
        <v>33</v>
      </c>
      <c r="BI24" s="152" t="s">
        <v>34</v>
      </c>
      <c r="BJ24" s="152" t="s">
        <v>35</v>
      </c>
      <c r="BK24" s="153" t="s">
        <v>36</v>
      </c>
      <c r="BL24" s="154"/>
      <c r="BM24" s="151" t="s">
        <v>33</v>
      </c>
      <c r="BN24" s="152" t="s">
        <v>34</v>
      </c>
      <c r="BO24" s="152" t="s">
        <v>35</v>
      </c>
      <c r="BP24" s="151" t="s">
        <v>33</v>
      </c>
      <c r="BQ24" s="152" t="s">
        <v>34</v>
      </c>
      <c r="BR24" s="153" t="s">
        <v>35</v>
      </c>
      <c r="BS24" s="151" t="s">
        <v>33</v>
      </c>
      <c r="BT24" s="152" t="s">
        <v>34</v>
      </c>
      <c r="BU24" s="152" t="s">
        <v>35</v>
      </c>
      <c r="BV24" s="151" t="s">
        <v>33</v>
      </c>
      <c r="BW24" s="152" t="s">
        <v>34</v>
      </c>
      <c r="BX24" s="153" t="s">
        <v>35</v>
      </c>
      <c r="BY24" s="151" t="s">
        <v>33</v>
      </c>
      <c r="BZ24" s="152" t="s">
        <v>34</v>
      </c>
      <c r="CA24" s="153" t="s">
        <v>35</v>
      </c>
      <c r="CB24" s="151" t="s">
        <v>33</v>
      </c>
      <c r="CC24" s="152" t="s">
        <v>34</v>
      </c>
      <c r="CD24" s="153" t="s">
        <v>35</v>
      </c>
      <c r="CE24" s="151" t="s">
        <v>33</v>
      </c>
      <c r="CF24" s="152" t="s">
        <v>34</v>
      </c>
      <c r="CG24" s="153" t="s">
        <v>35</v>
      </c>
      <c r="CH24" s="151" t="s">
        <v>33</v>
      </c>
      <c r="CI24" s="152" t="s">
        <v>34</v>
      </c>
      <c r="CJ24" s="153" t="s">
        <v>35</v>
      </c>
      <c r="CK24" s="151" t="s">
        <v>33</v>
      </c>
      <c r="CL24" s="152" t="s">
        <v>34</v>
      </c>
      <c r="CM24" s="153" t="s">
        <v>35</v>
      </c>
      <c r="CN24" s="151" t="s">
        <v>33</v>
      </c>
      <c r="CO24" s="152" t="s">
        <v>34</v>
      </c>
      <c r="CP24" s="153" t="s">
        <v>35</v>
      </c>
      <c r="CQ24" s="151" t="s">
        <v>33</v>
      </c>
      <c r="CR24" s="152" t="s">
        <v>34</v>
      </c>
      <c r="CS24" s="153" t="s">
        <v>35</v>
      </c>
      <c r="CT24" s="151" t="s">
        <v>33</v>
      </c>
      <c r="CU24" s="152" t="s">
        <v>34</v>
      </c>
      <c r="CV24" s="153" t="s">
        <v>35</v>
      </c>
      <c r="CX24" s="151" t="s">
        <v>33</v>
      </c>
      <c r="CY24" s="152" t="s">
        <v>34</v>
      </c>
      <c r="CZ24" s="153" t="s">
        <v>35</v>
      </c>
      <c r="DA24" s="221"/>
      <c r="DB24" s="220"/>
    </row>
    <row r="25" spans="1:106" s="16" customFormat="1" x14ac:dyDescent="0.2">
      <c r="A25" s="125">
        <f>+B7</f>
        <v>44078</v>
      </c>
      <c r="B25" s="162">
        <v>0</v>
      </c>
      <c r="C25" s="163">
        <v>0</v>
      </c>
      <c r="D25" s="166">
        <v>0</v>
      </c>
      <c r="E25" s="166">
        <v>0</v>
      </c>
      <c r="F25" s="166">
        <v>0</v>
      </c>
      <c r="G25" s="166">
        <v>0</v>
      </c>
      <c r="H25" s="166">
        <v>0</v>
      </c>
      <c r="I25" s="166">
        <v>0</v>
      </c>
      <c r="J25" s="166">
        <v>0</v>
      </c>
      <c r="K25" s="166">
        <v>0</v>
      </c>
      <c r="L25" s="166">
        <v>0</v>
      </c>
      <c r="M25" s="167">
        <v>0</v>
      </c>
      <c r="N25" s="124">
        <f>+YEAR(O25)</f>
        <v>2020</v>
      </c>
      <c r="O25" s="126">
        <f>+B7</f>
        <v>44078</v>
      </c>
      <c r="P25" s="145"/>
      <c r="Q25" s="146"/>
      <c r="R25" s="147"/>
      <c r="S25" s="148"/>
      <c r="T25" s="145"/>
      <c r="U25" s="146"/>
      <c r="V25" s="147"/>
      <c r="W25" s="148"/>
      <c r="X25" s="149"/>
      <c r="Y25" s="146"/>
      <c r="Z25" s="147"/>
      <c r="AA25" s="148"/>
      <c r="AB25" s="147"/>
      <c r="AC25" s="146"/>
      <c r="AD25" s="147"/>
      <c r="AE25" s="148"/>
      <c r="AF25" s="147"/>
      <c r="AG25" s="146"/>
      <c r="AH25" s="147"/>
      <c r="AI25" s="148"/>
      <c r="AJ25" s="147"/>
      <c r="AK25" s="146"/>
      <c r="AL25" s="147"/>
      <c r="AM25" s="148"/>
      <c r="AN25" s="147"/>
      <c r="AO25" s="146"/>
      <c r="AP25" s="147"/>
      <c r="AQ25" s="148"/>
      <c r="AR25" s="147"/>
      <c r="AS25" s="146"/>
      <c r="AT25" s="147"/>
      <c r="AU25" s="148"/>
      <c r="AV25" s="147"/>
      <c r="AW25" s="146"/>
      <c r="AX25" s="147"/>
      <c r="AY25" s="148"/>
      <c r="AZ25" s="147"/>
      <c r="BA25" s="146"/>
      <c r="BB25" s="147"/>
      <c r="BC25" s="148"/>
      <c r="BD25" s="147"/>
      <c r="BE25" s="146"/>
      <c r="BF25" s="147"/>
      <c r="BG25" s="148"/>
      <c r="BH25" s="147"/>
      <c r="BI25" s="146"/>
      <c r="BJ25" s="147"/>
      <c r="BK25" s="148"/>
      <c r="BL25" s="124"/>
      <c r="BM25" s="145"/>
      <c r="BN25" s="146"/>
      <c r="BO25" s="147"/>
      <c r="BP25" s="145"/>
      <c r="BQ25" s="217"/>
      <c r="BR25" s="148"/>
      <c r="BS25" s="149"/>
      <c r="BT25" s="146"/>
      <c r="BU25" s="147"/>
      <c r="BV25" s="149"/>
      <c r="BW25" s="217"/>
      <c r="BX25" s="148"/>
      <c r="BY25" s="149"/>
      <c r="BZ25" s="217"/>
      <c r="CA25" s="148"/>
      <c r="CB25" s="149"/>
      <c r="CC25" s="217"/>
      <c r="CD25" s="148"/>
      <c r="CE25" s="149"/>
      <c r="CF25" s="217"/>
      <c r="CG25" s="148"/>
      <c r="CH25" s="149"/>
      <c r="CI25" s="217"/>
      <c r="CJ25" s="148"/>
      <c r="CK25" s="149"/>
      <c r="CL25" s="217"/>
      <c r="CM25" s="148"/>
      <c r="CN25" s="149"/>
      <c r="CO25" s="217"/>
      <c r="CP25" s="148"/>
      <c r="CQ25" s="149"/>
      <c r="CR25" s="217"/>
      <c r="CS25" s="148"/>
      <c r="CT25" s="149"/>
      <c r="CU25" s="217"/>
      <c r="CV25" s="148"/>
      <c r="CX25" s="145"/>
      <c r="CY25" s="215"/>
      <c r="CZ25" s="216"/>
      <c r="DA25" s="222">
        <f>+YEARFRAC($O$25,O25)</f>
        <v>0</v>
      </c>
      <c r="DB25" s="223">
        <f t="shared" ref="DB25:DB67" si="3">+CY25*DA25</f>
        <v>0</v>
      </c>
    </row>
    <row r="26" spans="1:106" s="16" customFormat="1" x14ac:dyDescent="0.25">
      <c r="A26" s="125">
        <v>44205</v>
      </c>
      <c r="B26" s="164">
        <v>0</v>
      </c>
      <c r="C26" s="165">
        <v>0</v>
      </c>
      <c r="D26" s="136">
        <v>0</v>
      </c>
      <c r="E26" s="136">
        <v>0</v>
      </c>
      <c r="F26" s="136">
        <v>0</v>
      </c>
      <c r="G26" s="136">
        <v>0</v>
      </c>
      <c r="H26" s="136">
        <v>0</v>
      </c>
      <c r="I26" s="136">
        <v>0</v>
      </c>
      <c r="J26" s="136">
        <v>0</v>
      </c>
      <c r="K26" s="136">
        <v>0</v>
      </c>
      <c r="L26" s="136">
        <v>0</v>
      </c>
      <c r="M26" s="137">
        <v>0</v>
      </c>
      <c r="N26" s="124">
        <f t="shared" ref="N26:N77" si="4">+YEAR(O26)</f>
        <v>2021</v>
      </c>
      <c r="O26" s="126">
        <v>44205</v>
      </c>
      <c r="P26" s="168">
        <v>0</v>
      </c>
      <c r="Q26" s="169">
        <f t="shared" ref="Q26:Q43" si="5">+IF($O26&gt;$B$8,"FIN",IF($O26&lt;$B$15,0,$B$16/$B$14))</f>
        <v>0</v>
      </c>
      <c r="R26" s="170">
        <f t="shared" ref="R26:R43" si="6">+SUM(P26:Q26)</f>
        <v>0</v>
      </c>
      <c r="S26" s="171">
        <f t="shared" ref="S26:S43" si="7">R26/(1+$B$5)^(YEARFRAC($O$25,$O26))</f>
        <v>0</v>
      </c>
      <c r="T26" s="168">
        <v>0</v>
      </c>
      <c r="U26" s="169">
        <f t="shared" ref="U26:U43" si="8">+IF($O26&gt;$C$8,"FIN",IF($O26&lt;$C$15,0,$C$16/$C$14))</f>
        <v>0</v>
      </c>
      <c r="V26" s="170">
        <f t="shared" ref="V26:V43" si="9">+SUM(T26:U26)</f>
        <v>0</v>
      </c>
      <c r="W26" s="171">
        <f t="shared" ref="W26:W43" si="10">V26/(1+$B$5)^(YEARFRAC($O$25,$O26))</f>
        <v>0</v>
      </c>
      <c r="X26" s="168">
        <v>0</v>
      </c>
      <c r="Y26" s="169">
        <f t="shared" ref="Y26:Y32" si="11">+IF($O26&gt;$D$8,"FIN",IF($O26&lt;$D$15,0,$D$16/$D$14))</f>
        <v>0</v>
      </c>
      <c r="Z26" s="170">
        <f t="shared" ref="Z26:Z45" si="12">+SUM(X26:Y26)</f>
        <v>0</v>
      </c>
      <c r="AA26" s="171">
        <f t="shared" ref="AA26:AA45" si="13">Z26/(1+$B$5)^(YEARFRAC($O$25,$O26))</f>
        <v>0</v>
      </c>
      <c r="AB26" s="168">
        <v>0</v>
      </c>
      <c r="AC26" s="170">
        <f t="shared" ref="AC26:AC32" si="14">+IF($O26&gt;$E$8,"FIN",IF($O26&lt;$E$15,0,$E$16/$E$14))</f>
        <v>0</v>
      </c>
      <c r="AD26" s="170">
        <f t="shared" ref="AD26:AD45" si="15">+SUM(AB26:AC26)</f>
        <v>0</v>
      </c>
      <c r="AE26" s="171">
        <f t="shared" ref="AE26:AE45" si="16">AD26/(1+$B$5)^(YEARFRAC($O$25,$O26))</f>
        <v>0</v>
      </c>
      <c r="AF26" s="168">
        <v>0</v>
      </c>
      <c r="AG26" s="169">
        <f t="shared" ref="AG26:AG55" si="17">+IF($O26&gt;$F$8,"FIN",IF($O26&lt;$F$15,0,$F$16/$F$14))</f>
        <v>0</v>
      </c>
      <c r="AH26" s="170">
        <f t="shared" ref="AH26:AH55" si="18">+SUM(AF26:AG26)</f>
        <v>0</v>
      </c>
      <c r="AI26" s="171">
        <f t="shared" ref="AI26:AI55" si="19">AH26/(1+$B$5)^(YEARFRAC($O$25,$O26))</f>
        <v>0</v>
      </c>
      <c r="AJ26" s="168">
        <v>0</v>
      </c>
      <c r="AK26" s="170">
        <f t="shared" ref="AK26:AK55" si="20">+IF($O26&gt;$G$8,"FIN",IF($O26&lt;$G$15,0,$G$16/$G$14))</f>
        <v>0</v>
      </c>
      <c r="AL26" s="170">
        <f t="shared" ref="AL26:AL55" si="21">+SUM(AJ26:AK26)</f>
        <v>0</v>
      </c>
      <c r="AM26" s="171">
        <f t="shared" ref="AM26:AM55" si="22">AL26/(1+$B$5)^(YEARFRAC($O$25,$O26))</f>
        <v>0</v>
      </c>
      <c r="AN26" s="168">
        <v>0</v>
      </c>
      <c r="AO26" s="170">
        <f t="shared" ref="AO26:AO61" si="23">+IF($O26&gt;$H$8,"FIN",IF($O26&lt;$H$15,0,$H$16/$H$14))</f>
        <v>0</v>
      </c>
      <c r="AP26" s="170">
        <f t="shared" ref="AP26:AP61" si="24">+SUM(AN26:AO26)</f>
        <v>0</v>
      </c>
      <c r="AQ26" s="171">
        <f t="shared" ref="AQ26:AQ61" si="25">AP26/(1+$B$5)^(YEARFRAC($O$25,$O26))</f>
        <v>0</v>
      </c>
      <c r="AR26" s="168">
        <v>0</v>
      </c>
      <c r="AS26" s="170">
        <f t="shared" ref="AS26:AS61" si="26">+IF($O26&gt;$I$8,"FIN",IF($O26&lt;$I$15,0,$I$16/$I$14))</f>
        <v>0</v>
      </c>
      <c r="AT26" s="170">
        <f t="shared" ref="AT26:AT61" si="27">+SUM(AR26:AS26)</f>
        <v>0</v>
      </c>
      <c r="AU26" s="171">
        <f t="shared" ref="AU26:AU61" si="28">AT26/(1+$B$5)^(YEARFRAC($O$25,$O26))</f>
        <v>0</v>
      </c>
      <c r="AV26" s="168">
        <v>0</v>
      </c>
      <c r="AW26" s="170">
        <f t="shared" ref="AW26:AW67" si="29">+IF($O26&gt;$J$8,"FIN",IF($O26&lt;$J$15,0,$J$16/$J$14))</f>
        <v>0</v>
      </c>
      <c r="AX26" s="170">
        <f t="shared" ref="AX26:AX67" si="30">+SUM(AV26:AW26)</f>
        <v>0</v>
      </c>
      <c r="AY26" s="171">
        <f t="shared" ref="AY26:AY67" si="31">AX26/(1+$B$5)^(YEARFRAC($O$25,$O26))</f>
        <v>0</v>
      </c>
      <c r="AZ26" s="168">
        <v>0</v>
      </c>
      <c r="BA26" s="170">
        <f t="shared" ref="BA26:BA67" si="32">+IF($O26&gt;$K$8,"FIN",IF($O26&lt;$K$15,0,$K$16/$K$14))</f>
        <v>0</v>
      </c>
      <c r="BB26" s="170">
        <f t="shared" ref="BB26:BB67" si="33">+SUM(AZ26:BA26)</f>
        <v>0</v>
      </c>
      <c r="BC26" s="171">
        <f t="shared" ref="BC26:BC67" si="34">BB26/(1+$B$5)^(YEARFRAC($O$25,$O26))</f>
        <v>0</v>
      </c>
      <c r="BD26" s="168">
        <v>0</v>
      </c>
      <c r="BE26" s="169">
        <f t="shared" ref="BE26:BE57" si="35">+IF($O26&gt;$L$8,"FIN",IF($O26&lt;$L$15,0,$L$16/$L$14))</f>
        <v>0</v>
      </c>
      <c r="BF26" s="170">
        <f t="shared" ref="BF26:BF77" si="36">+SUM(BD26:BE26)</f>
        <v>0</v>
      </c>
      <c r="BG26" s="171">
        <f t="shared" ref="BG26:BG57" si="37">BF26/(1+$B$5)^(YEARFRAC($O$25,$O26))</f>
        <v>0</v>
      </c>
      <c r="BH26" s="168">
        <v>0</v>
      </c>
      <c r="BI26" s="170">
        <f t="shared" ref="BI26:BI57" si="38">+IF($O26&gt;$M$8,"FIN",IF($O26&lt;$M$15,0,$M$16/$M$14))</f>
        <v>0</v>
      </c>
      <c r="BJ26" s="170">
        <f t="shared" ref="BJ26:BJ77" si="39">+SUM(BH26:BI26)</f>
        <v>0</v>
      </c>
      <c r="BK26" s="171">
        <f t="shared" ref="BK26:BK57" si="40">BJ26/(1+$B$5)^(YEARFRAC($O$25,$O26))</f>
        <v>0</v>
      </c>
      <c r="BL26" s="124"/>
      <c r="BM26" s="168">
        <v>0</v>
      </c>
      <c r="BN26" s="169">
        <f>+IF($O27&gt;$B$8,"FIN",IF($O27&lt;$B$15,0,$B$19/$B$14))</f>
        <v>0</v>
      </c>
      <c r="BO26" s="170">
        <f t="shared" ref="BO26:BO27" si="41">+SUM(BM26:BN26)</f>
        <v>0</v>
      </c>
      <c r="BP26" s="168">
        <v>0</v>
      </c>
      <c r="BQ26" s="218">
        <f>+IF($O26&gt;$C$8,"FIN",IF($O26&lt;$C$15,0,$C$16/$C$14))</f>
        <v>0</v>
      </c>
      <c r="BR26" s="171">
        <f t="shared" ref="BR26:BR28" si="42">+SUM(BP26:BQ26)</f>
        <v>0</v>
      </c>
      <c r="BS26" s="168">
        <v>0</v>
      </c>
      <c r="BT26" s="169">
        <f>+IF($O26&gt;$D$8,"FIN",IF($O26&lt;$D$15,0,$D$16/$D$14))</f>
        <v>0</v>
      </c>
      <c r="BU26" s="170">
        <f t="shared" ref="BU26:BU44" si="43">+SUM(BS26:BT26)</f>
        <v>0</v>
      </c>
      <c r="BV26" s="168">
        <v>0</v>
      </c>
      <c r="BW26" s="170">
        <f>+IF($O26&gt;$E$8,"FIN",IF($O26&lt;$E$15,0,$E$16/$E$14))</f>
        <v>0</v>
      </c>
      <c r="BX26" s="171">
        <f t="shared" ref="BX26:BX45" si="44">+SUM(BV26:BW26)</f>
        <v>0</v>
      </c>
      <c r="BY26" s="168">
        <v>0</v>
      </c>
      <c r="BZ26" s="218">
        <f>+IF($O26&gt;$F$8,"FIN",IF($O26&lt;$F$15,0,$F$16/$F$14))</f>
        <v>0</v>
      </c>
      <c r="CA26" s="171">
        <f t="shared" ref="CA26:CA55" si="45">+SUM(BY26:BZ26)</f>
        <v>0</v>
      </c>
      <c r="CB26" s="168">
        <v>0</v>
      </c>
      <c r="CC26" s="170">
        <f>+IF($O26&gt;$G$8,"FIN",IF($O26&lt;$G$15,0,$G$16/$G$14))</f>
        <v>0</v>
      </c>
      <c r="CD26" s="171">
        <f t="shared" ref="CD26:CD55" si="46">+SUM(CB26:CC26)</f>
        <v>0</v>
      </c>
      <c r="CE26" s="168">
        <v>0</v>
      </c>
      <c r="CF26" s="170">
        <f>+IF($O26&gt;$H$8,"FIN",IF($O26&lt;$H$15,0,$H$16/$H$14))</f>
        <v>0</v>
      </c>
      <c r="CG26" s="171">
        <f t="shared" ref="CG26:CG60" si="47">+SUM(CE26:CF26)</f>
        <v>0</v>
      </c>
      <c r="CH26" s="168">
        <v>0</v>
      </c>
      <c r="CI26" s="170">
        <f>+IF($O26&gt;$I$8,"FIN",IF($O26&lt;$I$15,0,$I$16/$I$14))</f>
        <v>0</v>
      </c>
      <c r="CJ26" s="171">
        <f t="shared" ref="CJ26:CJ60" si="48">+SUM(CH26:CI26)</f>
        <v>0</v>
      </c>
      <c r="CK26" s="168">
        <v>0</v>
      </c>
      <c r="CL26" s="170">
        <f>+IF($O26&gt;$J$8,"FIN",IF($O26&lt;$J$15,0,$J$16/$J$14))</f>
        <v>0</v>
      </c>
      <c r="CM26" s="171">
        <f t="shared" ref="CM26:CM66" si="49">+SUM(CK26:CL26)</f>
        <v>0</v>
      </c>
      <c r="CN26" s="168">
        <v>0</v>
      </c>
      <c r="CO26" s="170">
        <f>+IF($O26&gt;$K$8,"FIN",IF($O26&lt;$K$15,0,$K$16/$K$14))</f>
        <v>0</v>
      </c>
      <c r="CP26" s="171">
        <f t="shared" ref="CP26:CP67" si="50">+SUM(CN26:CO26)</f>
        <v>0</v>
      </c>
      <c r="CQ26" s="168">
        <v>0</v>
      </c>
      <c r="CR26" s="218">
        <f>+IF($O26&gt;$L$8,"FIN",IF($O26&lt;$L$15,0,$L$16/$L$14))</f>
        <v>0</v>
      </c>
      <c r="CS26" s="171">
        <f t="shared" ref="CS26:CS77" si="51">+SUM(CQ26:CR26)</f>
        <v>0</v>
      </c>
      <c r="CT26" s="168">
        <v>0</v>
      </c>
      <c r="CU26" s="170">
        <f>+IF($O26&gt;$M$8,"FIN",IF($O26&lt;$M$15,0,$M$16/$M$14))</f>
        <v>0</v>
      </c>
      <c r="CV26" s="171">
        <f t="shared" ref="CV26:CV77" si="52">+SUM(CT26:CU26)</f>
        <v>0</v>
      </c>
      <c r="CX26" s="168">
        <f>+SUM(CQ26,CK26,CE26,BY26,BS26,BM26)+SUM(BP26,BV26,CB26,CH26,CN26,CT26)/$Q$2</f>
        <v>0</v>
      </c>
      <c r="CY26" s="170">
        <f>+SUM(CR26,CL26,CF26,BZ26,BT26,BN26)+SUM(BQ26,BW26,CC26,CI26,CO26,CU26)/$Q$2</f>
        <v>0</v>
      </c>
      <c r="CZ26" s="171">
        <f>+CX26+CY26</f>
        <v>0</v>
      </c>
      <c r="DA26" s="224">
        <f>+YEARFRAC($O$25,O26)</f>
        <v>0.34722222222222221</v>
      </c>
      <c r="DB26" s="225">
        <f t="shared" si="3"/>
        <v>0</v>
      </c>
    </row>
    <row r="27" spans="1:106" s="16" customFormat="1" x14ac:dyDescent="0.25">
      <c r="A27" s="125">
        <f t="shared" ref="A27:A58" si="53">DATE(YEAR(A26),MONTH(A26)+VLOOKUP($D$13,$K$1:$M$4,3,0),DAY(A26))</f>
        <v>44386</v>
      </c>
      <c r="B27" s="164">
        <v>0.01</v>
      </c>
      <c r="C27" s="165">
        <v>5.0000000000000001E-3</v>
      </c>
      <c r="D27" s="136">
        <v>1.25E-3</v>
      </c>
      <c r="E27" s="136">
        <v>1.25E-3</v>
      </c>
      <c r="F27" s="136">
        <v>1.25E-3</v>
      </c>
      <c r="G27" s="136">
        <v>1.25E-3</v>
      </c>
      <c r="H27" s="136">
        <v>1.25E-3</v>
      </c>
      <c r="I27" s="136">
        <v>1.25E-3</v>
      </c>
      <c r="J27" s="136">
        <v>1.25E-3</v>
      </c>
      <c r="K27" s="136">
        <v>1.25E-3</v>
      </c>
      <c r="L27" s="136">
        <v>1.25E-3</v>
      </c>
      <c r="M27" s="137">
        <v>1.25E-3</v>
      </c>
      <c r="N27" s="124">
        <f t="shared" si="4"/>
        <v>2021</v>
      </c>
      <c r="O27" s="126">
        <f t="shared" ref="O27:O58" si="54">+DATE(YEAR(O26),MONTH(O26)+VLOOKUP(D$13,$K$1:$M$4,3,0),DAY(O26))</f>
        <v>44386</v>
      </c>
      <c r="P27" s="168">
        <f>+IF($O27&gt;B$8,"FIN",(B$16-SUM(Q$25:Q26))*VLOOKUP($O27,$A:$N,2,0)/VLOOKUP(B$13,$K$1:$M$4,2,0))*DAYS360(B7,$O27)/180</f>
        <v>0.84722222222222221</v>
      </c>
      <c r="Q27" s="169">
        <f t="shared" si="5"/>
        <v>0</v>
      </c>
      <c r="R27" s="170">
        <f t="shared" si="6"/>
        <v>0.84722222222222221</v>
      </c>
      <c r="S27" s="171">
        <f t="shared" si="7"/>
        <v>0.78149919657436917</v>
      </c>
      <c r="T27" s="168">
        <f>+IF($O27&gt;C$8,"FIN",(C$16-SUM(U$25:U26))*VLOOKUP($O27,$A:$N,3,0)/VLOOKUP(C$13,$K$1:$M$4,2,0))*DAYS360(C7,$O27)/180</f>
        <v>0.4236111111111111</v>
      </c>
      <c r="U27" s="169">
        <f t="shared" si="8"/>
        <v>0</v>
      </c>
      <c r="V27" s="170">
        <f t="shared" si="9"/>
        <v>0.4236111111111111</v>
      </c>
      <c r="W27" s="171">
        <f t="shared" si="10"/>
        <v>0.39074959828718459</v>
      </c>
      <c r="X27" s="168">
        <f>+IF($O27&gt;D$8,"FIN",(D$16-SUM(Y$25:Y26))*VLOOKUP($O27,$A:$N,4,0)/VLOOKUP(D$13,$K$1:$M$4,2,0))*DAYS360(D7,$O27)/180</f>
        <v>0.10272569444444443</v>
      </c>
      <c r="Y27" s="169">
        <f t="shared" si="11"/>
        <v>0</v>
      </c>
      <c r="Z27" s="170">
        <f t="shared" si="12"/>
        <v>0.10272569444444443</v>
      </c>
      <c r="AA27" s="171">
        <f t="shared" si="13"/>
        <v>9.4756777584642252E-2</v>
      </c>
      <c r="AB27" s="168">
        <f>+IF($O27&gt;E$8,"FIN",(E$16-SUM(AC$25:AC26))*VLOOKUP($O27,$A:$N,5,0)/VLOOKUP(E$13,$K$1:$M$4,2,0))*DAYS360(E7,$O27)/180</f>
        <v>0.10272569444444443</v>
      </c>
      <c r="AC27" s="170">
        <f t="shared" si="14"/>
        <v>0</v>
      </c>
      <c r="AD27" s="170">
        <f t="shared" si="15"/>
        <v>0.10272569444444443</v>
      </c>
      <c r="AE27" s="171">
        <f t="shared" si="16"/>
        <v>9.4756777584642252E-2</v>
      </c>
      <c r="AF27" s="168">
        <f>+IF($O27&gt;F$8,"FIN",(F$16-SUM(AG$25:AG26))*VLOOKUP($O27,$A:$N,6,0)/VLOOKUP(F$13,$K$1:$M$4,2,0))*DAYS360(F7,$O27)/180</f>
        <v>0.10272569444444443</v>
      </c>
      <c r="AG27" s="169">
        <f t="shared" si="17"/>
        <v>0</v>
      </c>
      <c r="AH27" s="170">
        <f t="shared" si="18"/>
        <v>0.10272569444444443</v>
      </c>
      <c r="AI27" s="171">
        <f t="shared" si="19"/>
        <v>9.4756777584642252E-2</v>
      </c>
      <c r="AJ27" s="168">
        <f>+IF($O27&gt;G$8,"FIN",(G$16-SUM(AK$25:AK26))*VLOOKUP($O27,$A:$N,7,0)/VLOOKUP(G$13,$K$1:$M$4,2,0))*DAYS360(G7,$O27)/180</f>
        <v>0.10272569444444443</v>
      </c>
      <c r="AK27" s="170">
        <f t="shared" si="20"/>
        <v>0</v>
      </c>
      <c r="AL27" s="170">
        <f t="shared" si="21"/>
        <v>0.10272569444444443</v>
      </c>
      <c r="AM27" s="171">
        <f t="shared" si="22"/>
        <v>9.4756777584642252E-2</v>
      </c>
      <c r="AN27" s="168">
        <f>+IF($O27&gt;H$8,"FIN",(H$16-SUM(AO$25:AO26))*VLOOKUP($O27,$A:$N,8,0)/VLOOKUP(H$13,$K$1:$M$4,2,0))*DAYS360(H7,$O27)/180</f>
        <v>0.10590277777777778</v>
      </c>
      <c r="AO27" s="170">
        <f t="shared" si="23"/>
        <v>0</v>
      </c>
      <c r="AP27" s="170">
        <f t="shared" si="24"/>
        <v>0.10590277777777778</v>
      </c>
      <c r="AQ27" s="171">
        <f t="shared" si="25"/>
        <v>9.7687399571796146E-2</v>
      </c>
      <c r="AR27" s="168">
        <f>+IF($O27&gt;I$8,"FIN",(I$16-SUM(AS$25:AS26))*VLOOKUP($O27,$A:$N,9,0)/VLOOKUP(I$13,$K$1:$M$4,2,0))*DAYS360(I7,$O27)/180</f>
        <v>0.10590277777777778</v>
      </c>
      <c r="AS27" s="170">
        <f t="shared" si="26"/>
        <v>0</v>
      </c>
      <c r="AT27" s="170">
        <f t="shared" si="27"/>
        <v>0.10590277777777778</v>
      </c>
      <c r="AU27" s="171">
        <f t="shared" si="28"/>
        <v>9.7687399571796146E-2</v>
      </c>
      <c r="AV27" s="168">
        <f>+IF($O27&gt;J$8,"FIN",(J$16-SUM(AW$25:AW26))*VLOOKUP($O27,$A:$N,10,0)/VLOOKUP(J$13,$K$1:$M$4,2,0))*DAYS360(J7,$O27)/180</f>
        <v>0.10590277777777778</v>
      </c>
      <c r="AW27" s="170">
        <f t="shared" si="29"/>
        <v>0</v>
      </c>
      <c r="AX27" s="170">
        <f t="shared" si="30"/>
        <v>0.10590277777777778</v>
      </c>
      <c r="AY27" s="171">
        <f t="shared" si="31"/>
        <v>9.7687399571796146E-2</v>
      </c>
      <c r="AZ27" s="168">
        <f>+IF($O27&gt;K$8,"FIN",(K$16-SUM(BA$25:BA26))*VLOOKUP($O27,$A:$N,11,0)/VLOOKUP(K$13,$K$1:$M$4,2,0))*DAYS360(K7,$O27)/180</f>
        <v>0.10590277777777778</v>
      </c>
      <c r="BA27" s="170">
        <f t="shared" si="32"/>
        <v>0</v>
      </c>
      <c r="BB27" s="170">
        <f t="shared" si="33"/>
        <v>0.10590277777777778</v>
      </c>
      <c r="BC27" s="171">
        <f t="shared" si="34"/>
        <v>9.7687399571796146E-2</v>
      </c>
      <c r="BD27" s="168">
        <f>+IF($O27&gt;L$8,"FIN",(L$16-SUM(BE$25:BE26))*VLOOKUP($O27,$A:$N,12,0)/VLOOKUP(L$13,$K$1:$M$4,2,0))*DAYS360(L7,$O27)/180</f>
        <v>0.10272569444444443</v>
      </c>
      <c r="BE27" s="169">
        <f t="shared" si="35"/>
        <v>0</v>
      </c>
      <c r="BF27" s="170">
        <f t="shared" si="36"/>
        <v>0.10272569444444443</v>
      </c>
      <c r="BG27" s="171">
        <f t="shared" si="37"/>
        <v>9.4756777584642252E-2</v>
      </c>
      <c r="BH27" s="168">
        <f>+IF($O27&gt;M$8,"FIN",(M$16-SUM(BI$25:BI26))*VLOOKUP($O27,$A:$N,13,0)/VLOOKUP(M$13,$K$1:$M$4,2,0))*DAYS360(M7,$O27)/180</f>
        <v>0.10272569444444443</v>
      </c>
      <c r="BI27" s="170">
        <f t="shared" si="38"/>
        <v>0</v>
      </c>
      <c r="BJ27" s="170">
        <f t="shared" si="39"/>
        <v>0.10272569444444443</v>
      </c>
      <c r="BK27" s="171">
        <f t="shared" si="40"/>
        <v>9.4756777584642252E-2</v>
      </c>
      <c r="BL27" s="124"/>
      <c r="BM27" s="168">
        <f>+IF($O27&gt;B$8,"FIN",(B$19-SUM(BN$25:BN26))*VLOOKUP($O27,$A:$N,2,0)/VLOOKUP(B$13,$K$1:$M$4,2,0))*DAYS360(B7,$O27)/180</f>
        <v>17.750217084396301</v>
      </c>
      <c r="BN27" s="169">
        <f t="shared" ref="BN27:BN43" si="55">+IF($O27&gt;$B$8,"FIN",IF($O27&lt;$B$15,0,$B$19/$B$14))</f>
        <v>0</v>
      </c>
      <c r="BO27" s="170">
        <f t="shared" si="41"/>
        <v>17.750217084396301</v>
      </c>
      <c r="BP27" s="168">
        <f>+IF($O27&gt;C$8,"FIN",(C$19-SUM(BQ$25:BQ26))*VLOOKUP($O27,$A:$N,3,0)/VLOOKUP(C$13,$K$1:$M$4,2,0))*DAYS360(C7,$O27)/180</f>
        <v>2.4332269571870935</v>
      </c>
      <c r="BQ27" s="218">
        <f t="shared" ref="BQ27:BQ43" si="56">+IF($O27&gt;$C$8,"FIN",IF($O27&lt;$C$15,0,$C$19/$C$14))</f>
        <v>0</v>
      </c>
      <c r="BR27" s="171">
        <f t="shared" ref="BR27" si="57">+SUM(BP27:BQ27)</f>
        <v>2.4332269571870935</v>
      </c>
      <c r="BS27" s="168">
        <f>+IF($O27&gt;D$8,"FIN",(D$19-SUM(BT$25:BT26))*VLOOKUP($O27,$A:$N,4,0)/VLOOKUP(D$13,$K$1:$M$4,2,0))*DAYS360(D7,$O27)/180</f>
        <v>14.614583333333334</v>
      </c>
      <c r="BT27" s="169">
        <f t="shared" ref="BT27:BT32" si="58">+IF($O27&gt;$D$8,"FIN",IF($O27&lt;$D$15,0,$D$19/$D$14))</f>
        <v>0</v>
      </c>
      <c r="BU27" s="170">
        <f t="shared" ref="BU27" si="59">+SUM(BS27:BT27)</f>
        <v>14.614583333333334</v>
      </c>
      <c r="BV27" s="168">
        <f>+IF($O27&gt;E$8,"FIN",(E$19-SUM(BW$25:BW26))*VLOOKUP($O27,$A:$N,5,0)/VLOOKUP(E$13,$K$1:$M$4,2,0))*DAYS360(E7,$O27)/180</f>
        <v>3.2829861111111112</v>
      </c>
      <c r="BW27" s="170">
        <f t="shared" ref="BW27:BW32" si="60">+IF($O27&gt;$E$8,"FIN",IF($O27&lt;$E$15,0,$E$19/$E$14))</f>
        <v>0</v>
      </c>
      <c r="BX27" s="171">
        <f t="shared" si="44"/>
        <v>3.2829861111111112</v>
      </c>
      <c r="BY27" s="168">
        <f>+IF($O27&gt;F$8,"FIN",(F$19-SUM(BZ$25:BZ26))*VLOOKUP($O27,$A:$N,6,0)/VLOOKUP(F$13,$K$1:$M$4,2,0))*DAYS360(F7,$O27)/180</f>
        <v>21.275526667361113</v>
      </c>
      <c r="BZ27" s="170">
        <f t="shared" ref="BZ27:BZ55" si="61">+IF($O27&gt;$F$8,"FIN",IF($O27&lt;$F$15,0,$F$19/$F$14))</f>
        <v>0</v>
      </c>
      <c r="CA27" s="171">
        <f t="shared" si="45"/>
        <v>21.275526667361113</v>
      </c>
      <c r="CB27" s="168">
        <f>+IF($O27&gt;G$8,"FIN",(G$19-SUM(CC$25:CC26))*VLOOKUP($O27,$A:$N,7,0)/VLOOKUP(G$13,$K$1:$M$4,2,0))*DAYS360(G7,$O27)/180</f>
        <v>2.4908370838403378</v>
      </c>
      <c r="CC27" s="170">
        <f t="shared" ref="CC27:CC55" si="62">+IF($O27&gt;$G$8,"FIN",IF($O27&lt;$G$15,0,$G$19/$G$14))</f>
        <v>0</v>
      </c>
      <c r="CD27" s="171">
        <f t="shared" si="46"/>
        <v>2.4908370838403378</v>
      </c>
      <c r="CE27" s="168">
        <f>+IF($O27&gt;H$8,"FIN",(H$19-SUM(CF$25:CF26))*VLOOKUP($O27,$A:$N,8,0)/VLOOKUP(H$13,$K$1:$M$4,2,0))*DAYS360(H7,$O27)/180</f>
        <v>5.3930579570138892</v>
      </c>
      <c r="CF27" s="170">
        <f t="shared" ref="CF27:CF60" si="63">+IF($O27&gt;$H$8,"FIN",IF($O27&lt;$H$15,0,$H$19/$H$14))</f>
        <v>0</v>
      </c>
      <c r="CG27" s="171">
        <f t="shared" si="47"/>
        <v>5.3930579570138892</v>
      </c>
      <c r="CH27" s="168">
        <f>+IF($O27&gt;I$8,"FIN",(I$19-SUM(CI$25:CI26))*VLOOKUP($O27,$A:$N,9,0)/VLOOKUP(I$13,$K$1:$M$4,2,0))*DAYS360(I7,$O27)/180</f>
        <v>6.1095893599131941</v>
      </c>
      <c r="CI27" s="170">
        <f t="shared" ref="CI27:CI60" si="64">+IF($O27&gt;$I$8,"FIN",IF($O27&lt;$I$15,0,$I$19/$I$14))</f>
        <v>0</v>
      </c>
      <c r="CJ27" s="171">
        <f t="shared" si="48"/>
        <v>6.1095893599131941</v>
      </c>
      <c r="CK27" s="168">
        <f>+IF($O27&gt;J$8,"FIN",(J$19-SUM(CL$25:CL26))*VLOOKUP($O27,$A:$N,10,0)/VLOOKUP(J$13,$K$1:$M$4,2,0))*DAYS360(J7,$O27)/180</f>
        <v>5.3307212913368058</v>
      </c>
      <c r="CL27" s="170">
        <f t="shared" ref="CL27:CL67" si="65">+IF($O27&gt;$J$8,"FIN",IF($O27&lt;$J$15,0,$J$19/$J$14))</f>
        <v>0</v>
      </c>
      <c r="CM27" s="171">
        <f t="shared" si="49"/>
        <v>5.3307212913368058</v>
      </c>
      <c r="CN27" s="168">
        <f>+IF($O27&gt;K$8,"FIN",(K$19-SUM(CO$25:CO26))*VLOOKUP($O27,$A:$N,11,0)/VLOOKUP(K$13,$K$1:$M$4,2,0))*DAYS360(K7,$O27)/180</f>
        <v>6.8553230725347225</v>
      </c>
      <c r="CO27" s="170">
        <f t="shared" ref="CO27:CO67" si="66">+IF($O27&gt;$K$8,"FIN",IF($O27&lt;$K$15,0,$K$19/$K$14))</f>
        <v>0</v>
      </c>
      <c r="CP27" s="171">
        <f t="shared" si="50"/>
        <v>6.8553230725347225</v>
      </c>
      <c r="CQ27" s="168">
        <f>+IF($O27&gt;L$8,"FIN",(L$19-SUM(CR$25:CR26))*VLOOKUP($O27,$A:$N,12,0)/VLOOKUP(L$13,$K$1:$M$4,2,0))*DAYS360(L7,$O27)/180</f>
        <v>0</v>
      </c>
      <c r="CR27" s="218">
        <f t="shared" ref="CR27:CR58" si="67">+IF($O27&gt;$L$8,"FIN",IF($O27&lt;$L$15,0,$L$19/$L$14))</f>
        <v>0</v>
      </c>
      <c r="CS27" s="171">
        <f t="shared" si="51"/>
        <v>0</v>
      </c>
      <c r="CT27" s="168">
        <f>+IF($O27&gt;M$8,"FIN",(M$19-SUM(CU$25:CU26))*VLOOKUP($O27,$A:$N,13,0)/VLOOKUP(M$13,$K$1:$M$4,2,0))*DAYS360(M7,$O27)/180</f>
        <v>0</v>
      </c>
      <c r="CU27" s="170">
        <f t="shared" ref="CU27:CU58" si="68">+IF($O26&gt;$M$8,"FIN",IF($O26&lt;$M$15,0,$M$19/$M$14))</f>
        <v>0</v>
      </c>
      <c r="CV27" s="171">
        <f t="shared" si="52"/>
        <v>0</v>
      </c>
      <c r="CX27" s="168">
        <f t="shared" ref="CX27:CX77" si="69">+SUM(CQ27,CK27,CE27,BY27,BS27,BM27)+SUM(BP27,BV27,CB27,CH27,CN27,CT27)/$Q$2</f>
        <v>89.26350958474859</v>
      </c>
      <c r="CY27" s="170">
        <f t="shared" ref="CY27:CY77" si="70">+SUM(CR27,CL27,CF27,BZ27,BT27,BN27)+SUM(BQ27,BW27,CC27,CI27,CO27,CU27)/$Q$2</f>
        <v>0</v>
      </c>
      <c r="CZ27" s="171">
        <f t="shared" ref="CZ27:CZ77" si="71">+CX27+CY27</f>
        <v>89.26350958474859</v>
      </c>
      <c r="DA27" s="224">
        <f t="shared" ref="DA27:DA67" si="72">+YEARFRAC($O$25,O27)</f>
        <v>0.84722222222222221</v>
      </c>
      <c r="DB27" s="225">
        <f t="shared" si="3"/>
        <v>0</v>
      </c>
    </row>
    <row r="28" spans="1:106" s="16" customFormat="1" x14ac:dyDescent="0.25">
      <c r="A28" s="125">
        <f t="shared" si="53"/>
        <v>44570</v>
      </c>
      <c r="B28" s="164">
        <v>0.01</v>
      </c>
      <c r="C28" s="165">
        <v>5.0000000000000001E-3</v>
      </c>
      <c r="D28" s="136">
        <v>5.0000000000000001E-3</v>
      </c>
      <c r="E28" s="136">
        <v>1.25E-3</v>
      </c>
      <c r="F28" s="136">
        <v>1.125E-2</v>
      </c>
      <c r="G28" s="136">
        <v>7.4999999999999997E-3</v>
      </c>
      <c r="H28" s="136">
        <v>0.02</v>
      </c>
      <c r="I28" s="136">
        <v>1.4999999999999999E-2</v>
      </c>
      <c r="J28" s="136">
        <v>2.5000000000000001E-2</v>
      </c>
      <c r="K28" s="136">
        <v>1.4999999999999999E-2</v>
      </c>
      <c r="L28" s="136">
        <v>1.125E-2</v>
      </c>
      <c r="M28" s="137">
        <v>7.4999999999999997E-3</v>
      </c>
      <c r="N28" s="124">
        <f t="shared" si="4"/>
        <v>2022</v>
      </c>
      <c r="O28" s="126">
        <f t="shared" si="54"/>
        <v>44570</v>
      </c>
      <c r="P28" s="130">
        <f>+IF($O28&gt;B$8,"FIN",(B$16-SUM(Q$25:Q27))*VLOOKUP($O28,$A:$N,2,0)/VLOOKUP(B$13,$K$1:$M$4,2,0))</f>
        <v>0.5</v>
      </c>
      <c r="Q28" s="131">
        <f t="shared" si="5"/>
        <v>0</v>
      </c>
      <c r="R28" s="131">
        <f t="shared" si="6"/>
        <v>0.5</v>
      </c>
      <c r="S28" s="128">
        <f t="shared" si="7"/>
        <v>0.43974899850048088</v>
      </c>
      <c r="T28" s="130">
        <f>+IF($O28&gt;C$8,"FIN",(C$16-SUM(U$25:U27))*VLOOKUP($O28,$A:$N,3,0)/VLOOKUP(C$13,$K$1:$M$4,2,0))</f>
        <v>0.25</v>
      </c>
      <c r="U28" s="131">
        <f t="shared" si="8"/>
        <v>0</v>
      </c>
      <c r="V28" s="131">
        <f t="shared" si="9"/>
        <v>0.25</v>
      </c>
      <c r="W28" s="128">
        <f t="shared" si="10"/>
        <v>0.21987449925024044</v>
      </c>
      <c r="X28" s="130">
        <f>+IF($O28&gt;D$8,"FIN",(D$16-SUM(Y$25:Y27))*VLOOKUP($O28,$A:$N,4,0)/VLOOKUP(D$13,$K$1:$M$4,2,0))</f>
        <v>0.24249999999999999</v>
      </c>
      <c r="Y28" s="131">
        <f t="shared" si="11"/>
        <v>0</v>
      </c>
      <c r="Z28" s="131">
        <f t="shared" si="12"/>
        <v>0.24249999999999999</v>
      </c>
      <c r="AA28" s="128">
        <f t="shared" si="13"/>
        <v>0.21327826427273322</v>
      </c>
      <c r="AB28" s="130">
        <f>+IF($O28&gt;E$8,"FIN",(E$16-SUM(AC$25:AC27))*VLOOKUP($O28,$A:$N,5,0)/VLOOKUP(E$13,$K$1:$M$4,2,0))</f>
        <v>6.0624999999999998E-2</v>
      </c>
      <c r="AC28" s="131">
        <f t="shared" si="14"/>
        <v>0</v>
      </c>
      <c r="AD28" s="131">
        <f t="shared" si="15"/>
        <v>6.0624999999999998E-2</v>
      </c>
      <c r="AE28" s="128">
        <f t="shared" si="16"/>
        <v>5.3319566068183305E-2</v>
      </c>
      <c r="AF28" s="130">
        <f>+IF($O28&gt;F$8,"FIN",(F$16-SUM(AG$25:AG27))*VLOOKUP($O28,$A:$N,6,0)/VLOOKUP(F$13,$K$1:$M$4,2,0))</f>
        <v>0.54562500000000003</v>
      </c>
      <c r="AG28" s="131">
        <f t="shared" si="17"/>
        <v>0</v>
      </c>
      <c r="AH28" s="127">
        <f t="shared" si="18"/>
        <v>0.54562500000000003</v>
      </c>
      <c r="AI28" s="128">
        <f t="shared" si="19"/>
        <v>0.47987609461364977</v>
      </c>
      <c r="AJ28" s="130">
        <f>+IF($O28&gt;G$8,"FIN",(G$16-SUM(AK$25:AK27))*VLOOKUP($O28,$A:$N,7,0)/VLOOKUP(G$13,$K$1:$M$4,2,0))</f>
        <v>0.36374999999999996</v>
      </c>
      <c r="AK28" s="131">
        <f t="shared" si="20"/>
        <v>0</v>
      </c>
      <c r="AL28" s="127">
        <f t="shared" si="21"/>
        <v>0.36374999999999996</v>
      </c>
      <c r="AM28" s="128">
        <f t="shared" si="22"/>
        <v>0.31991739640909977</v>
      </c>
      <c r="AN28" s="130">
        <f>+IF($O28&gt;H$8,"FIN",(H$16-SUM(AO$25:AO27))*VLOOKUP($O28,$A:$N,8,0)/VLOOKUP(H$13,$K$1:$M$4,2,0))</f>
        <v>1</v>
      </c>
      <c r="AO28" s="127">
        <f t="shared" si="23"/>
        <v>0</v>
      </c>
      <c r="AP28" s="127">
        <f t="shared" si="24"/>
        <v>1</v>
      </c>
      <c r="AQ28" s="128">
        <f t="shared" si="25"/>
        <v>0.87949799700096176</v>
      </c>
      <c r="AR28" s="130">
        <f>+IF($O28&gt;I$8,"FIN",(I$16-SUM(AS$25:AS27))*VLOOKUP($O28,$A:$N,9,0)/VLOOKUP(I$13,$K$1:$M$4,2,0))</f>
        <v>0.75</v>
      </c>
      <c r="AS28" s="131">
        <f t="shared" si="26"/>
        <v>0</v>
      </c>
      <c r="AT28" s="127">
        <f t="shared" si="27"/>
        <v>0.75</v>
      </c>
      <c r="AU28" s="128">
        <f t="shared" si="28"/>
        <v>0.65962349775072127</v>
      </c>
      <c r="AV28" s="130">
        <f>+IF($O28&gt;J$8,"FIN",(J$16-SUM(AW$25:AW27))*VLOOKUP($O28,$A:$N,10,0)/VLOOKUP(J$13,$K$1:$M$4,2,0))</f>
        <v>1.25</v>
      </c>
      <c r="AW28" s="131">
        <f t="shared" si="29"/>
        <v>0</v>
      </c>
      <c r="AX28" s="127">
        <f t="shared" si="30"/>
        <v>1.25</v>
      </c>
      <c r="AY28" s="128">
        <f t="shared" si="31"/>
        <v>1.0993724962512021</v>
      </c>
      <c r="AZ28" s="130">
        <f>+IF($O28&gt;K$8,"FIN",(K$16-SUM(BA$25:BA27))*VLOOKUP($O28,$A:$N,11,0)/VLOOKUP(K$13,$K$1:$M$4,2,0))</f>
        <v>0.75</v>
      </c>
      <c r="BA28" s="131">
        <f t="shared" si="32"/>
        <v>0</v>
      </c>
      <c r="BB28" s="131">
        <f t="shared" si="33"/>
        <v>0.75</v>
      </c>
      <c r="BC28" s="128">
        <f t="shared" si="34"/>
        <v>0.65962349775072127</v>
      </c>
      <c r="BD28" s="130">
        <f>+IF($O28&gt;L$8,"FIN",(L$16-SUM(BE$25:BE27))*VLOOKUP($O28,$A:$N,12,0)/VLOOKUP(L$13,$K$1:$M$4,2,0))</f>
        <v>0.54562500000000003</v>
      </c>
      <c r="BE28" s="131">
        <f t="shared" si="35"/>
        <v>0</v>
      </c>
      <c r="BF28" s="127">
        <f t="shared" si="36"/>
        <v>0.54562500000000003</v>
      </c>
      <c r="BG28" s="128">
        <f t="shared" si="37"/>
        <v>0.47987609461364977</v>
      </c>
      <c r="BH28" s="130">
        <f>+IF($O28&gt;M$8,"FIN",(M$16-SUM(BI$25:BI27))*VLOOKUP($O28,$A:$N,13,0)/VLOOKUP(M$13,$K$1:$M$4,2,0))</f>
        <v>0.36374999999999996</v>
      </c>
      <c r="BI28" s="127">
        <f t="shared" si="38"/>
        <v>0</v>
      </c>
      <c r="BJ28" s="127">
        <f t="shared" si="39"/>
        <v>0.36374999999999996</v>
      </c>
      <c r="BK28" s="128">
        <f t="shared" si="40"/>
        <v>0.31991739640909977</v>
      </c>
      <c r="BL28" s="124"/>
      <c r="BM28" s="130">
        <f>+IF($O28&gt;B$8,"FIN",(B$19-SUM(BN$25:BN27))*VLOOKUP($O28,$A:$N,2,0)/VLOOKUP(B$13,$K$1:$M$4,2,0))</f>
        <v>10.475537951446997</v>
      </c>
      <c r="BN28" s="131">
        <f t="shared" si="55"/>
        <v>0</v>
      </c>
      <c r="BO28" s="131">
        <f>+SUM(BM28:BN28)</f>
        <v>10.475537951446997</v>
      </c>
      <c r="BP28" s="130">
        <f>+IF($O28&gt;C$8,"FIN",(C$19-SUM(BQ$25:BQ27))*VLOOKUP($O28,$A:$N,3,0)/VLOOKUP(C$13,$K$1:$M$4,2,0))</f>
        <v>1.4360027944054978</v>
      </c>
      <c r="BQ28" s="131">
        <f t="shared" si="56"/>
        <v>0</v>
      </c>
      <c r="BR28" s="219">
        <f t="shared" si="42"/>
        <v>1.4360027944054978</v>
      </c>
      <c r="BS28" s="130">
        <f>+IF($O28&gt;D$8,"FIN",(D$19-SUM(BT$25:BT27))*VLOOKUP($O28,$A:$N,4,0)/VLOOKUP(D$13,$K$1:$M$4,2,0))</f>
        <v>34.5</v>
      </c>
      <c r="BT28" s="131">
        <f t="shared" si="58"/>
        <v>0</v>
      </c>
      <c r="BU28" s="131">
        <f t="shared" si="43"/>
        <v>34.5</v>
      </c>
      <c r="BV28" s="130">
        <f>+IF($O28&gt;E$8,"FIN",(E$19-SUM(BW$25:BW27))*VLOOKUP($O28,$A:$N,5,0)/VLOOKUP(E$13,$K$1:$M$4,2,0))</f>
        <v>1.9375</v>
      </c>
      <c r="BW28" s="131">
        <f t="shared" si="60"/>
        <v>0</v>
      </c>
      <c r="BX28" s="219">
        <f t="shared" si="44"/>
        <v>1.9375</v>
      </c>
      <c r="BY28" s="130">
        <f>+IF($O28&gt;F$8,"FIN",(F$19-SUM(BZ$25:BZ27))*VLOOKUP($O28,$A:$N,6,0)/VLOOKUP(F$13,$K$1:$M$4,2,0))</f>
        <v>113.00443672500001</v>
      </c>
      <c r="BZ28" s="131">
        <f t="shared" si="61"/>
        <v>0</v>
      </c>
      <c r="CA28" s="128">
        <f t="shared" si="45"/>
        <v>113.00443672500001</v>
      </c>
      <c r="CB28" s="130">
        <f>+IF($O28&gt;G$8,"FIN",(G$19-SUM(CC$25:CC27))*VLOOKUP($O28,$A:$N,7,0)/VLOOKUP(G$13,$K$1:$M$4,2,0))</f>
        <v>8.8200132804838187</v>
      </c>
      <c r="CC28" s="131">
        <f t="shared" si="62"/>
        <v>0</v>
      </c>
      <c r="CD28" s="128">
        <f t="shared" si="46"/>
        <v>8.8200132804838187</v>
      </c>
      <c r="CE28" s="130">
        <f>+IF($O28&gt;H$8,"FIN",(H$19-SUM(CF$25:CF27))*VLOOKUP($O28,$A:$N,8,0)/VLOOKUP(H$13,$K$1:$M$4,2,0))</f>
        <v>50.924612840000002</v>
      </c>
      <c r="CF28" s="127">
        <f t="shared" si="63"/>
        <v>0</v>
      </c>
      <c r="CG28" s="128">
        <f t="shared" si="47"/>
        <v>50.924612840000002</v>
      </c>
      <c r="CH28" s="130">
        <f>+IF($O28&gt;I$8,"FIN",(I$19-SUM(CI$25:CI27))*VLOOKUP($O28,$A:$N,9,0)/VLOOKUP(I$13,$K$1:$M$4,2,0))</f>
        <v>43.267911532500001</v>
      </c>
      <c r="CI28" s="131">
        <f t="shared" si="64"/>
        <v>0</v>
      </c>
      <c r="CJ28" s="128">
        <f t="shared" si="48"/>
        <v>43.267911532500001</v>
      </c>
      <c r="CK28" s="130">
        <f>+IF($O28&gt;J$8,"FIN",(J$19-SUM(CL$25:CL27))*VLOOKUP($O28,$A:$N,10,0)/VLOOKUP(J$13,$K$1:$M$4,2,0))</f>
        <v>62.919989012500004</v>
      </c>
      <c r="CL28" s="131">
        <f t="shared" si="65"/>
        <v>0</v>
      </c>
      <c r="CM28" s="128">
        <f t="shared" si="49"/>
        <v>62.919989012500004</v>
      </c>
      <c r="CN28" s="130">
        <f>+IF($O28&gt;K$8,"FIN",(K$19-SUM(CO$25:CO27))*VLOOKUP($O28,$A:$N,11,0)/VLOOKUP(K$13,$K$1:$M$4,2,0))</f>
        <v>48.549173234999998</v>
      </c>
      <c r="CO28" s="131">
        <f t="shared" si="66"/>
        <v>0</v>
      </c>
      <c r="CP28" s="219">
        <f t="shared" si="50"/>
        <v>48.549173234999998</v>
      </c>
      <c r="CQ28" s="130">
        <f>+IF($O28&gt;L$8,"FIN",(L$19-SUM(CR$25:CR27))*VLOOKUP($O28,$A:$N,12,0)/VLOOKUP(L$13,$K$1:$M$4,2,0))</f>
        <v>0</v>
      </c>
      <c r="CR28" s="131">
        <f t="shared" si="67"/>
        <v>0</v>
      </c>
      <c r="CS28" s="128">
        <f t="shared" si="51"/>
        <v>0</v>
      </c>
      <c r="CT28" s="130">
        <f>+IF($O28&gt;M$8,"FIN",(M$19-SUM(CU$25:CU27))*VLOOKUP($O28,$A:$N,13,0)/VLOOKUP(M$13,$K$1:$M$4,2,0))</f>
        <v>0</v>
      </c>
      <c r="CU28" s="127">
        <f t="shared" si="68"/>
        <v>0</v>
      </c>
      <c r="CV28" s="128">
        <f t="shared" si="52"/>
        <v>0</v>
      </c>
      <c r="CX28" s="130">
        <f t="shared" si="69"/>
        <v>394.14681672933432</v>
      </c>
      <c r="CY28" s="127">
        <f t="shared" si="70"/>
        <v>0</v>
      </c>
      <c r="CZ28" s="128">
        <f t="shared" si="71"/>
        <v>394.14681672933432</v>
      </c>
      <c r="DA28" s="224">
        <f t="shared" si="72"/>
        <v>1.3472222222222223</v>
      </c>
      <c r="DB28" s="225">
        <f t="shared" si="3"/>
        <v>0</v>
      </c>
    </row>
    <row r="29" spans="1:106" s="16" customFormat="1" x14ac:dyDescent="0.25">
      <c r="A29" s="125">
        <f t="shared" si="53"/>
        <v>44751</v>
      </c>
      <c r="B29" s="164">
        <v>0.01</v>
      </c>
      <c r="C29" s="165">
        <v>5.0000000000000001E-3</v>
      </c>
      <c r="D29" s="136">
        <v>5.0000000000000001E-3</v>
      </c>
      <c r="E29" s="136">
        <v>1.25E-3</v>
      </c>
      <c r="F29" s="136">
        <v>1.125E-2</v>
      </c>
      <c r="G29" s="136">
        <v>7.4999999999999997E-3</v>
      </c>
      <c r="H29" s="136">
        <v>0.02</v>
      </c>
      <c r="I29" s="136">
        <v>1.4999999999999999E-2</v>
      </c>
      <c r="J29" s="136">
        <v>2.5000000000000001E-2</v>
      </c>
      <c r="K29" s="136">
        <v>1.4999999999999999E-2</v>
      </c>
      <c r="L29" s="136">
        <v>1.125E-2</v>
      </c>
      <c r="M29" s="137">
        <v>7.4999999999999997E-3</v>
      </c>
      <c r="N29" s="124">
        <f t="shared" si="4"/>
        <v>2022</v>
      </c>
      <c r="O29" s="126">
        <f t="shared" si="54"/>
        <v>44751</v>
      </c>
      <c r="P29" s="130">
        <f>+IF($O29&gt;B$8,"FIN",(B$16-SUM(Q$25:Q28))*VLOOKUP($O29,$A:$N,2,0)/VLOOKUP(B$13,$K$1:$M$4,2,0))</f>
        <v>0.5</v>
      </c>
      <c r="Q29" s="127">
        <f t="shared" si="5"/>
        <v>0</v>
      </c>
      <c r="R29" s="127">
        <f t="shared" si="6"/>
        <v>0.5</v>
      </c>
      <c r="S29" s="128">
        <f t="shared" si="7"/>
        <v>0.41928421872842458</v>
      </c>
      <c r="T29" s="130">
        <f>+IF($O29&gt;C$8,"FIN",(C$16-SUM(U$25:U28))*VLOOKUP($O29,$A:$N,3,0)/VLOOKUP(C$13,$K$1:$M$4,2,0))</f>
        <v>0.25</v>
      </c>
      <c r="U29" s="127">
        <f t="shared" si="8"/>
        <v>0</v>
      </c>
      <c r="V29" s="127">
        <f t="shared" si="9"/>
        <v>0.25</v>
      </c>
      <c r="W29" s="128">
        <f t="shared" si="10"/>
        <v>0.20964210936421229</v>
      </c>
      <c r="X29" s="130">
        <f>+IF($O29&gt;D$8,"FIN",(D$16-SUM(Y$25:Y28))*VLOOKUP($O29,$A:$N,4,0)/VLOOKUP(D$13,$K$1:$M$4,2,0))</f>
        <v>0.24249999999999999</v>
      </c>
      <c r="Y29" s="127">
        <f t="shared" si="11"/>
        <v>0</v>
      </c>
      <c r="Z29" s="127">
        <f t="shared" si="12"/>
        <v>0.24249999999999999</v>
      </c>
      <c r="AA29" s="128">
        <f t="shared" si="13"/>
        <v>0.20335284608328591</v>
      </c>
      <c r="AB29" s="130">
        <f>+IF($O29&gt;E$8,"FIN",(E$16-SUM(AC$25:AC28))*VLOOKUP($O29,$A:$N,5,0)/VLOOKUP(E$13,$K$1:$M$4,2,0))</f>
        <v>6.0624999999999998E-2</v>
      </c>
      <c r="AC29" s="127">
        <f t="shared" si="14"/>
        <v>0</v>
      </c>
      <c r="AD29" s="127">
        <f t="shared" si="15"/>
        <v>6.0624999999999998E-2</v>
      </c>
      <c r="AE29" s="128">
        <f t="shared" si="16"/>
        <v>5.0838211520821477E-2</v>
      </c>
      <c r="AF29" s="130">
        <f>+IF($O29&gt;F$8,"FIN",(F$16-SUM(AG$25:AG28))*VLOOKUP($O29,$A:$N,6,0)/VLOOKUP(F$13,$K$1:$M$4,2,0))</f>
        <v>0.54562500000000003</v>
      </c>
      <c r="AG29" s="127">
        <f t="shared" si="17"/>
        <v>0</v>
      </c>
      <c r="AH29" s="127">
        <f t="shared" si="18"/>
        <v>0.54562500000000003</v>
      </c>
      <c r="AI29" s="128">
        <f t="shared" si="19"/>
        <v>0.45754390368739334</v>
      </c>
      <c r="AJ29" s="130">
        <f>+IF($O29&gt;G$8,"FIN",(G$16-SUM(AK$25:AK28))*VLOOKUP($O29,$A:$N,7,0)/VLOOKUP(G$13,$K$1:$M$4,2,0))</f>
        <v>0.36374999999999996</v>
      </c>
      <c r="AK29" s="127">
        <f t="shared" si="20"/>
        <v>0</v>
      </c>
      <c r="AL29" s="127">
        <f t="shared" si="21"/>
        <v>0.36374999999999996</v>
      </c>
      <c r="AM29" s="128">
        <f t="shared" si="22"/>
        <v>0.30502926912492884</v>
      </c>
      <c r="AN29" s="130">
        <f>+IF($O29&gt;H$8,"FIN",(H$16-SUM(AO$25:AO28))*VLOOKUP($O29,$A:$N,8,0)/VLOOKUP(H$13,$K$1:$M$4,2,0))</f>
        <v>1</v>
      </c>
      <c r="AO29" s="127">
        <f t="shared" si="23"/>
        <v>0</v>
      </c>
      <c r="AP29" s="127">
        <f t="shared" si="24"/>
        <v>1</v>
      </c>
      <c r="AQ29" s="128">
        <f t="shared" si="25"/>
        <v>0.83856843745684917</v>
      </c>
      <c r="AR29" s="130">
        <f>+IF($O29&gt;I$8,"FIN",(I$16-SUM(AS$25:AS28))*VLOOKUP($O29,$A:$N,9,0)/VLOOKUP(I$13,$K$1:$M$4,2,0))</f>
        <v>0.75</v>
      </c>
      <c r="AS29" s="127">
        <f t="shared" si="26"/>
        <v>0</v>
      </c>
      <c r="AT29" s="127">
        <f t="shared" si="27"/>
        <v>0.75</v>
      </c>
      <c r="AU29" s="128">
        <f t="shared" si="28"/>
        <v>0.62892632809263682</v>
      </c>
      <c r="AV29" s="130">
        <f>+IF($O29&gt;J$8,"FIN",(J$16-SUM(AW$25:AW28))*VLOOKUP($O29,$A:$N,10,0)/VLOOKUP(J$13,$K$1:$M$4,2,0))</f>
        <v>1.25</v>
      </c>
      <c r="AW29" s="127">
        <f t="shared" si="29"/>
        <v>0</v>
      </c>
      <c r="AX29" s="127">
        <f t="shared" si="30"/>
        <v>1.25</v>
      </c>
      <c r="AY29" s="128">
        <f t="shared" si="31"/>
        <v>1.0482105468210614</v>
      </c>
      <c r="AZ29" s="130">
        <f>+IF($O29&gt;K$8,"FIN",(K$16-SUM(BA$25:BA28))*VLOOKUP($O29,$A:$N,11,0)/VLOOKUP(K$13,$K$1:$M$4,2,0))</f>
        <v>0.75</v>
      </c>
      <c r="BA29" s="127">
        <f t="shared" si="32"/>
        <v>0</v>
      </c>
      <c r="BB29" s="127">
        <f t="shared" si="33"/>
        <v>0.75</v>
      </c>
      <c r="BC29" s="128">
        <f t="shared" si="34"/>
        <v>0.62892632809263682</v>
      </c>
      <c r="BD29" s="130">
        <f>+IF($O29&gt;L$8,"FIN",(L$16-SUM(BE$25:BE28))*VLOOKUP($O29,$A:$N,12,0)/VLOOKUP(L$13,$K$1:$M$4,2,0))</f>
        <v>0.54562500000000003</v>
      </c>
      <c r="BE29" s="127">
        <f t="shared" si="35"/>
        <v>0</v>
      </c>
      <c r="BF29" s="127">
        <f t="shared" si="36"/>
        <v>0.54562500000000003</v>
      </c>
      <c r="BG29" s="128">
        <f t="shared" si="37"/>
        <v>0.45754390368739334</v>
      </c>
      <c r="BH29" s="130">
        <f>+IF($O29&gt;M$8,"FIN",(M$16-SUM(BI$25:BI28))*VLOOKUP($O29,$A:$N,13,0)/VLOOKUP(M$13,$K$1:$M$4,2,0))</f>
        <v>0.36374999999999996</v>
      </c>
      <c r="BI29" s="127">
        <f t="shared" si="38"/>
        <v>0</v>
      </c>
      <c r="BJ29" s="127">
        <f t="shared" si="39"/>
        <v>0.36374999999999996</v>
      </c>
      <c r="BK29" s="128">
        <f t="shared" si="40"/>
        <v>0.30502926912492884</v>
      </c>
      <c r="BL29" s="124"/>
      <c r="BM29" s="130">
        <f>+IF($O29&gt;B$8,"FIN",(B$19-SUM(BN$25:BN28))*VLOOKUP($O29,$A:$N,2,0)/VLOOKUP(B$13,$K$1:$M$4,2,0))</f>
        <v>10.475537951446997</v>
      </c>
      <c r="BN29" s="131">
        <f t="shared" si="55"/>
        <v>0</v>
      </c>
      <c r="BO29" s="127">
        <f t="shared" ref="BO29:BO43" si="73">+SUM(BM29:BN29)</f>
        <v>10.475537951446997</v>
      </c>
      <c r="BP29" s="130">
        <f>+IF($O29&gt;C$8,"FIN",(C$19-SUM(BQ$25:BQ28))*VLOOKUP($O29,$A:$N,3,0)/VLOOKUP(C$13,$K$1:$M$4,2,0))</f>
        <v>1.4360027944054978</v>
      </c>
      <c r="BQ29" s="131">
        <f t="shared" si="56"/>
        <v>0</v>
      </c>
      <c r="BR29" s="219">
        <f t="shared" ref="BR29:BR43" si="74">+SUM(BP29:BQ29)</f>
        <v>1.4360027944054978</v>
      </c>
      <c r="BS29" s="130">
        <f>+IF($O29&gt;D$8,"FIN",(D$19-SUM(BT$25:BT28))*VLOOKUP($O29,$A:$N,4,0)/VLOOKUP(D$13,$K$1:$M$4,2,0))</f>
        <v>34.5</v>
      </c>
      <c r="BT29" s="127">
        <f t="shared" si="58"/>
        <v>0</v>
      </c>
      <c r="BU29" s="127">
        <f t="shared" si="43"/>
        <v>34.5</v>
      </c>
      <c r="BV29" s="130">
        <f>+IF($O29&gt;E$8,"FIN",(E$19-SUM(BW$25:BW28))*VLOOKUP($O29,$A:$N,5,0)/VLOOKUP(E$13,$K$1:$M$4,2,0))</f>
        <v>1.9375</v>
      </c>
      <c r="BW29" s="131">
        <f t="shared" si="60"/>
        <v>0</v>
      </c>
      <c r="BX29" s="128">
        <f t="shared" si="44"/>
        <v>1.9375</v>
      </c>
      <c r="BY29" s="130">
        <f>+IF($O29&gt;F$8,"FIN",(F$19-SUM(BZ$25:BZ28))*VLOOKUP($O29,$A:$N,6,0)/VLOOKUP(F$13,$K$1:$M$4,2,0))</f>
        <v>113.00443672500001</v>
      </c>
      <c r="BZ29" s="131">
        <f t="shared" si="61"/>
        <v>0</v>
      </c>
      <c r="CA29" s="128">
        <f t="shared" si="45"/>
        <v>113.00443672500001</v>
      </c>
      <c r="CB29" s="130">
        <f>+IF($O29&gt;G$8,"FIN",(G$19-SUM(CC$25:CC28))*VLOOKUP($O29,$A:$N,7,0)/VLOOKUP(G$13,$K$1:$M$4,2,0))</f>
        <v>8.8200132804838187</v>
      </c>
      <c r="CC29" s="131">
        <f t="shared" si="62"/>
        <v>0</v>
      </c>
      <c r="CD29" s="128">
        <f t="shared" si="46"/>
        <v>8.8200132804838187</v>
      </c>
      <c r="CE29" s="130">
        <f>+IF($O29&gt;H$8,"FIN",(H$19-SUM(CF$25:CF28))*VLOOKUP($O29,$A:$N,8,0)/VLOOKUP(H$13,$K$1:$M$4,2,0))</f>
        <v>50.924612840000002</v>
      </c>
      <c r="CF29" s="127">
        <f t="shared" si="63"/>
        <v>0</v>
      </c>
      <c r="CG29" s="128">
        <f t="shared" si="47"/>
        <v>50.924612840000002</v>
      </c>
      <c r="CH29" s="130">
        <f>+IF($O29&gt;I$8,"FIN",(I$19-SUM(CI$25:CI28))*VLOOKUP($O29,$A:$N,9,0)/VLOOKUP(I$13,$K$1:$M$4,2,0))</f>
        <v>43.267911532500001</v>
      </c>
      <c r="CI29" s="131">
        <f t="shared" si="64"/>
        <v>0</v>
      </c>
      <c r="CJ29" s="128">
        <f t="shared" si="48"/>
        <v>43.267911532500001</v>
      </c>
      <c r="CK29" s="130">
        <f>+IF($O29&gt;J$8,"FIN",(J$19-SUM(CL$25:CL28))*VLOOKUP($O29,$A:$N,10,0)/VLOOKUP(J$13,$K$1:$M$4,2,0))</f>
        <v>62.919989012500004</v>
      </c>
      <c r="CL29" s="131">
        <f t="shared" si="65"/>
        <v>0</v>
      </c>
      <c r="CM29" s="128">
        <f t="shared" si="49"/>
        <v>62.919989012500004</v>
      </c>
      <c r="CN29" s="130">
        <f>+IF($O29&gt;K$8,"FIN",(K$19-SUM(CO$25:CO28))*VLOOKUP($O29,$A:$N,11,0)/VLOOKUP(K$13,$K$1:$M$4,2,0))</f>
        <v>48.549173234999998</v>
      </c>
      <c r="CO29" s="131">
        <f t="shared" si="66"/>
        <v>0</v>
      </c>
      <c r="CP29" s="128">
        <f t="shared" si="50"/>
        <v>48.549173234999998</v>
      </c>
      <c r="CQ29" s="130">
        <f>+IF($O29&gt;L$8,"FIN",(L$19-SUM(CR$25:CR28))*VLOOKUP($O29,$A:$N,12,0)/VLOOKUP(L$13,$K$1:$M$4,2,0))</f>
        <v>0</v>
      </c>
      <c r="CR29" s="127">
        <f t="shared" si="67"/>
        <v>0</v>
      </c>
      <c r="CS29" s="128">
        <f t="shared" si="51"/>
        <v>0</v>
      </c>
      <c r="CT29" s="130">
        <f>+IF($O29&gt;M$8,"FIN",(M$19-SUM(CU$25:CU28))*VLOOKUP($O29,$A:$N,13,0)/VLOOKUP(M$13,$K$1:$M$4,2,0))</f>
        <v>0</v>
      </c>
      <c r="CU29" s="127">
        <f t="shared" si="68"/>
        <v>0</v>
      </c>
      <c r="CV29" s="128">
        <f t="shared" si="52"/>
        <v>0</v>
      </c>
      <c r="CX29" s="130">
        <f t="shared" si="69"/>
        <v>394.14681672933432</v>
      </c>
      <c r="CY29" s="127">
        <f t="shared" si="70"/>
        <v>0</v>
      </c>
      <c r="CZ29" s="128">
        <f t="shared" si="71"/>
        <v>394.14681672933432</v>
      </c>
      <c r="DA29" s="224">
        <f t="shared" si="72"/>
        <v>1.8472222222222223</v>
      </c>
      <c r="DB29" s="225">
        <f t="shared" si="3"/>
        <v>0</v>
      </c>
    </row>
    <row r="30" spans="1:106" s="16" customFormat="1" x14ac:dyDescent="0.25">
      <c r="A30" s="125">
        <f t="shared" si="53"/>
        <v>44935</v>
      </c>
      <c r="B30" s="164">
        <v>0.01</v>
      </c>
      <c r="C30" s="165">
        <v>5.0000000000000001E-3</v>
      </c>
      <c r="D30" s="136">
        <v>5.0000000000000001E-3</v>
      </c>
      <c r="E30" s="136">
        <v>1.25E-3</v>
      </c>
      <c r="F30" s="136">
        <v>1.4999999999999999E-2</v>
      </c>
      <c r="G30" s="136">
        <v>8.7500000000000008E-3</v>
      </c>
      <c r="H30" s="136">
        <v>3.875E-2</v>
      </c>
      <c r="I30" s="136">
        <v>0.03</v>
      </c>
      <c r="J30" s="136">
        <v>3.5000000000000003E-2</v>
      </c>
      <c r="K30" s="136">
        <v>2.75E-2</v>
      </c>
      <c r="L30" s="136">
        <v>1.4999999999999999E-2</v>
      </c>
      <c r="M30" s="137">
        <v>8.7500000000000008E-3</v>
      </c>
      <c r="N30" s="124">
        <f t="shared" si="4"/>
        <v>2023</v>
      </c>
      <c r="O30" s="126">
        <f t="shared" si="54"/>
        <v>44935</v>
      </c>
      <c r="P30" s="130">
        <f>+IF($O30&gt;B$8,"FIN",(B$16-SUM(Q$25:Q29))*VLOOKUP($O30,$A:$N,2,0)/VLOOKUP(B$13,$K$1:$M$4,2,0))</f>
        <v>0.5</v>
      </c>
      <c r="Q30" s="127">
        <f t="shared" si="5"/>
        <v>0</v>
      </c>
      <c r="R30" s="127">
        <f t="shared" si="6"/>
        <v>0.5</v>
      </c>
      <c r="S30" s="128">
        <f t="shared" si="7"/>
        <v>0.39977181681861895</v>
      </c>
      <c r="T30" s="130">
        <f>+IF($O30&gt;C$8,"FIN",(C$16-SUM(U$25:U29))*VLOOKUP($O30,$A:$N,3,0)/VLOOKUP(C$13,$K$1:$M$4,2,0))</f>
        <v>0.25</v>
      </c>
      <c r="U30" s="127">
        <f t="shared" si="8"/>
        <v>0</v>
      </c>
      <c r="V30" s="127">
        <f t="shared" si="9"/>
        <v>0.25</v>
      </c>
      <c r="W30" s="128">
        <f t="shared" si="10"/>
        <v>0.19988590840930948</v>
      </c>
      <c r="X30" s="130">
        <f>+IF($O30&gt;D$8,"FIN",(D$16-SUM(Y$25:Y29))*VLOOKUP($O30,$A:$N,4,0)/VLOOKUP(D$13,$K$1:$M$4,2,0))</f>
        <v>0.24249999999999999</v>
      </c>
      <c r="Y30" s="127">
        <f t="shared" si="11"/>
        <v>0</v>
      </c>
      <c r="Z30" s="127">
        <f t="shared" si="12"/>
        <v>0.24249999999999999</v>
      </c>
      <c r="AA30" s="128">
        <f t="shared" si="13"/>
        <v>0.19388933115703019</v>
      </c>
      <c r="AB30" s="130">
        <f>+IF($O30&gt;E$8,"FIN",(E$16-SUM(AC$25:AC29))*VLOOKUP($O30,$A:$N,5,0)/VLOOKUP(E$13,$K$1:$M$4,2,0))</f>
        <v>6.0624999999999998E-2</v>
      </c>
      <c r="AC30" s="127">
        <f t="shared" si="14"/>
        <v>0</v>
      </c>
      <c r="AD30" s="127">
        <f t="shared" si="15"/>
        <v>6.0624999999999998E-2</v>
      </c>
      <c r="AE30" s="128">
        <f t="shared" si="16"/>
        <v>4.8472332789257548E-2</v>
      </c>
      <c r="AF30" s="130">
        <f>+IF($O30&gt;F$8,"FIN",(F$16-SUM(AG$25:AG29))*VLOOKUP($O30,$A:$N,6,0)/VLOOKUP(F$13,$K$1:$M$4,2,0))</f>
        <v>0.72749999999999992</v>
      </c>
      <c r="AG30" s="127">
        <f t="shared" si="17"/>
        <v>0</v>
      </c>
      <c r="AH30" s="127">
        <f t="shared" si="18"/>
        <v>0.72749999999999992</v>
      </c>
      <c r="AI30" s="128">
        <f t="shared" si="19"/>
        <v>0.58166799347109055</v>
      </c>
      <c r="AJ30" s="130">
        <f>+IF($O30&gt;G$8,"FIN",(G$16-SUM(AK$25:AK29))*VLOOKUP($O30,$A:$N,7,0)/VLOOKUP(G$13,$K$1:$M$4,2,0))</f>
        <v>0.42437500000000006</v>
      </c>
      <c r="AK30" s="127">
        <f t="shared" si="20"/>
        <v>0</v>
      </c>
      <c r="AL30" s="127">
        <f t="shared" si="21"/>
        <v>0.42437500000000006</v>
      </c>
      <c r="AM30" s="128">
        <f t="shared" si="22"/>
        <v>0.33930632952480289</v>
      </c>
      <c r="AN30" s="130">
        <f>+IF($O30&gt;H$8,"FIN",(H$16-SUM(AO$25:AO29))*VLOOKUP($O30,$A:$N,8,0)/VLOOKUP(H$13,$K$1:$M$4,2,0))</f>
        <v>1.9375</v>
      </c>
      <c r="AO30" s="127">
        <f t="shared" si="23"/>
        <v>0</v>
      </c>
      <c r="AP30" s="127">
        <f t="shared" si="24"/>
        <v>1.9375</v>
      </c>
      <c r="AQ30" s="128">
        <f t="shared" si="25"/>
        <v>1.5491157901721484</v>
      </c>
      <c r="AR30" s="130">
        <f>+IF($O30&gt;I$8,"FIN",(I$16-SUM(AS$25:AS29))*VLOOKUP($O30,$A:$N,9,0)/VLOOKUP(I$13,$K$1:$M$4,2,0))</f>
        <v>1.5</v>
      </c>
      <c r="AS30" s="127">
        <f t="shared" si="26"/>
        <v>0</v>
      </c>
      <c r="AT30" s="127">
        <f t="shared" si="27"/>
        <v>1.5</v>
      </c>
      <c r="AU30" s="128">
        <f t="shared" si="28"/>
        <v>1.1993154504558567</v>
      </c>
      <c r="AV30" s="130">
        <f>+IF($O30&gt;J$8,"FIN",(J$16-SUM(AW$25:AW29))*VLOOKUP($O30,$A:$N,10,0)/VLOOKUP(J$13,$K$1:$M$4,2,0))</f>
        <v>1.7500000000000002</v>
      </c>
      <c r="AW30" s="127">
        <f t="shared" si="29"/>
        <v>0</v>
      </c>
      <c r="AX30" s="127">
        <f t="shared" si="30"/>
        <v>1.7500000000000002</v>
      </c>
      <c r="AY30" s="128">
        <f t="shared" si="31"/>
        <v>1.3992013588651664</v>
      </c>
      <c r="AZ30" s="130">
        <f>+IF($O30&gt;K$8,"FIN",(K$16-SUM(BA$25:BA29))*VLOOKUP($O30,$A:$N,11,0)/VLOOKUP(K$13,$K$1:$M$4,2,0))</f>
        <v>1.375</v>
      </c>
      <c r="BA30" s="127">
        <f t="shared" si="32"/>
        <v>0</v>
      </c>
      <c r="BB30" s="127">
        <f t="shared" si="33"/>
        <v>1.375</v>
      </c>
      <c r="BC30" s="128">
        <f t="shared" si="34"/>
        <v>1.0993724962512021</v>
      </c>
      <c r="BD30" s="130">
        <f>+IF($O30&gt;L$8,"FIN",(L$16-SUM(BE$25:BE29))*VLOOKUP($O30,$A:$N,12,0)/VLOOKUP(L$13,$K$1:$M$4,2,0))</f>
        <v>0.72749999999999992</v>
      </c>
      <c r="BE30" s="127">
        <f t="shared" si="35"/>
        <v>0</v>
      </c>
      <c r="BF30" s="127">
        <f t="shared" si="36"/>
        <v>0.72749999999999992</v>
      </c>
      <c r="BG30" s="128">
        <f t="shared" si="37"/>
        <v>0.58166799347109055</v>
      </c>
      <c r="BH30" s="130">
        <f>+IF($O30&gt;M$8,"FIN",(M$16-SUM(BI$25:BI29))*VLOOKUP($O30,$A:$N,13,0)/VLOOKUP(M$13,$K$1:$M$4,2,0))</f>
        <v>0.42437500000000006</v>
      </c>
      <c r="BI30" s="127">
        <f t="shared" si="38"/>
        <v>0</v>
      </c>
      <c r="BJ30" s="127">
        <f t="shared" si="39"/>
        <v>0.42437500000000006</v>
      </c>
      <c r="BK30" s="128">
        <f t="shared" si="40"/>
        <v>0.33930632952480289</v>
      </c>
      <c r="BL30" s="124"/>
      <c r="BM30" s="130">
        <f>+IF($O30&gt;B$8,"FIN",(B$19-SUM(BN$25:BN29))*VLOOKUP($O30,$A:$N,2,0)/VLOOKUP(B$13,$K$1:$M$4,2,0))</f>
        <v>10.475537951446997</v>
      </c>
      <c r="BN30" s="131">
        <f t="shared" si="55"/>
        <v>0</v>
      </c>
      <c r="BO30" s="127">
        <f t="shared" si="73"/>
        <v>10.475537951446997</v>
      </c>
      <c r="BP30" s="130">
        <f>+IF($O30&gt;C$8,"FIN",(C$19-SUM(BQ$25:BQ29))*VLOOKUP($O30,$A:$N,3,0)/VLOOKUP(C$13,$K$1:$M$4,2,0))</f>
        <v>1.4360027944054978</v>
      </c>
      <c r="BQ30" s="131">
        <f t="shared" si="56"/>
        <v>0</v>
      </c>
      <c r="BR30" s="219">
        <f t="shared" si="74"/>
        <v>1.4360027944054978</v>
      </c>
      <c r="BS30" s="130">
        <f>+IF($O30&gt;D$8,"FIN",(D$19-SUM(BT$25:BT29))*VLOOKUP($O30,$A:$N,4,0)/VLOOKUP(D$13,$K$1:$M$4,2,0))</f>
        <v>34.5</v>
      </c>
      <c r="BT30" s="127">
        <f t="shared" si="58"/>
        <v>0</v>
      </c>
      <c r="BU30" s="127">
        <f t="shared" si="43"/>
        <v>34.5</v>
      </c>
      <c r="BV30" s="130">
        <f>+IF($O30&gt;E$8,"FIN",(E$19-SUM(BW$25:BW29))*VLOOKUP($O30,$A:$N,5,0)/VLOOKUP(E$13,$K$1:$M$4,2,0))</f>
        <v>1.9375</v>
      </c>
      <c r="BW30" s="131">
        <f t="shared" si="60"/>
        <v>0</v>
      </c>
      <c r="BX30" s="128">
        <f t="shared" si="44"/>
        <v>1.9375</v>
      </c>
      <c r="BY30" s="130">
        <f>+IF($O30&gt;F$8,"FIN",(F$19-SUM(BZ$25:BZ29))*VLOOKUP($O30,$A:$N,6,0)/VLOOKUP(F$13,$K$1:$M$4,2,0))</f>
        <v>150.67258230000002</v>
      </c>
      <c r="BZ30" s="131">
        <f t="shared" si="61"/>
        <v>0</v>
      </c>
      <c r="CA30" s="128">
        <f t="shared" si="45"/>
        <v>150.67258230000002</v>
      </c>
      <c r="CB30" s="130">
        <f>+IF($O30&gt;G$8,"FIN",(G$19-SUM(CC$25:CC29))*VLOOKUP($O30,$A:$N,7,0)/VLOOKUP(G$13,$K$1:$M$4,2,0))</f>
        <v>10.290015493897789</v>
      </c>
      <c r="CC30" s="131">
        <f t="shared" si="62"/>
        <v>0</v>
      </c>
      <c r="CD30" s="128">
        <f t="shared" si="46"/>
        <v>10.290015493897789</v>
      </c>
      <c r="CE30" s="130">
        <f>+IF($O30&gt;H$8,"FIN",(H$19-SUM(CF$25:CF29))*VLOOKUP($O30,$A:$N,8,0)/VLOOKUP(H$13,$K$1:$M$4,2,0))</f>
        <v>98.666437377500003</v>
      </c>
      <c r="CF30" s="127">
        <f t="shared" si="63"/>
        <v>0</v>
      </c>
      <c r="CG30" s="128">
        <f t="shared" si="47"/>
        <v>98.666437377500003</v>
      </c>
      <c r="CH30" s="130">
        <f>+IF($O30&gt;I$8,"FIN",(I$19-SUM(CI$25:CI29))*VLOOKUP($O30,$A:$N,9,0)/VLOOKUP(I$13,$K$1:$M$4,2,0))</f>
        <v>86.535823065000002</v>
      </c>
      <c r="CI30" s="131">
        <f t="shared" si="64"/>
        <v>0</v>
      </c>
      <c r="CJ30" s="128">
        <f t="shared" si="48"/>
        <v>86.535823065000002</v>
      </c>
      <c r="CK30" s="130">
        <f>+IF($O30&gt;J$8,"FIN",(J$19-SUM(CL$25:CL29))*VLOOKUP($O30,$A:$N,10,0)/VLOOKUP(J$13,$K$1:$M$4,2,0))</f>
        <v>88.087984617500013</v>
      </c>
      <c r="CL30" s="131">
        <f t="shared" si="65"/>
        <v>0</v>
      </c>
      <c r="CM30" s="128">
        <f t="shared" si="49"/>
        <v>88.087984617500013</v>
      </c>
      <c r="CN30" s="130">
        <f>+IF($O30&gt;K$8,"FIN",(K$19-SUM(CO$25:CO29))*VLOOKUP($O30,$A:$N,11,0)/VLOOKUP(K$13,$K$1:$M$4,2,0))</f>
        <v>89.006817597499989</v>
      </c>
      <c r="CO30" s="131">
        <f t="shared" si="66"/>
        <v>0</v>
      </c>
      <c r="CP30" s="128">
        <f t="shared" si="50"/>
        <v>89.006817597499989</v>
      </c>
      <c r="CQ30" s="130">
        <f>+IF($O30&gt;L$8,"FIN",(L$19-SUM(CR$25:CR29))*VLOOKUP($O30,$A:$N,12,0)/VLOOKUP(L$13,$K$1:$M$4,2,0))</f>
        <v>0</v>
      </c>
      <c r="CR30" s="127">
        <f t="shared" si="67"/>
        <v>0</v>
      </c>
      <c r="CS30" s="128">
        <f t="shared" si="51"/>
        <v>0</v>
      </c>
      <c r="CT30" s="130">
        <f>+IF($O30&gt;M$8,"FIN",(M$19-SUM(CU$25:CU29))*VLOOKUP($O30,$A:$N,13,0)/VLOOKUP(M$13,$K$1:$M$4,2,0))</f>
        <v>0</v>
      </c>
      <c r="CU30" s="127">
        <f t="shared" si="68"/>
        <v>0</v>
      </c>
      <c r="CV30" s="128">
        <f t="shared" si="52"/>
        <v>0</v>
      </c>
      <c r="CX30" s="130">
        <f t="shared" si="69"/>
        <v>604.91948797243003</v>
      </c>
      <c r="CY30" s="127">
        <f t="shared" si="70"/>
        <v>0</v>
      </c>
      <c r="CZ30" s="128">
        <f t="shared" si="71"/>
        <v>604.91948797243003</v>
      </c>
      <c r="DA30" s="224">
        <f t="shared" si="72"/>
        <v>2.3472222222222223</v>
      </c>
      <c r="DB30" s="225">
        <f t="shared" si="3"/>
        <v>0</v>
      </c>
    </row>
    <row r="31" spans="1:106" s="16" customFormat="1" x14ac:dyDescent="0.25">
      <c r="A31" s="125">
        <f t="shared" si="53"/>
        <v>45116</v>
      </c>
      <c r="B31" s="164">
        <v>0.01</v>
      </c>
      <c r="C31" s="165">
        <v>5.0000000000000001E-3</v>
      </c>
      <c r="D31" s="136">
        <v>5.0000000000000001E-3</v>
      </c>
      <c r="E31" s="136">
        <v>1.25E-3</v>
      </c>
      <c r="F31" s="136">
        <v>1.4999999999999999E-2</v>
      </c>
      <c r="G31" s="136">
        <v>8.7500000000000008E-3</v>
      </c>
      <c r="H31" s="136">
        <v>3.875E-2</v>
      </c>
      <c r="I31" s="136">
        <v>0.03</v>
      </c>
      <c r="J31" s="136">
        <v>3.5000000000000003E-2</v>
      </c>
      <c r="K31" s="136">
        <v>2.75E-2</v>
      </c>
      <c r="L31" s="136">
        <v>1.4999999999999999E-2</v>
      </c>
      <c r="M31" s="137">
        <v>8.7500000000000008E-3</v>
      </c>
      <c r="N31" s="124">
        <f t="shared" si="4"/>
        <v>2023</v>
      </c>
      <c r="O31" s="126">
        <f t="shared" si="54"/>
        <v>45116</v>
      </c>
      <c r="P31" s="130">
        <f>+IF($O31&gt;B$8,"FIN",(B$16-SUM(Q$25:Q30))*VLOOKUP($O31,$A:$N,2,0)/VLOOKUP(B$13,$K$1:$M$4,2,0))</f>
        <v>0.5</v>
      </c>
      <c r="Q31" s="127">
        <f t="shared" si="5"/>
        <v>0</v>
      </c>
      <c r="R31" s="127">
        <f t="shared" si="6"/>
        <v>0.5</v>
      </c>
      <c r="S31" s="128">
        <f t="shared" si="7"/>
        <v>0.38116747157129499</v>
      </c>
      <c r="T31" s="130">
        <f>+IF($O31&gt;C$8,"FIN",(C$16-SUM(U$25:U30))*VLOOKUP($O31,$A:$N,3,0)/VLOOKUP(C$13,$K$1:$M$4,2,0))</f>
        <v>0.25</v>
      </c>
      <c r="U31" s="127">
        <f t="shared" si="8"/>
        <v>0</v>
      </c>
      <c r="V31" s="127">
        <f t="shared" si="9"/>
        <v>0.25</v>
      </c>
      <c r="W31" s="128">
        <f t="shared" si="10"/>
        <v>0.1905837357856475</v>
      </c>
      <c r="X31" s="130">
        <f>+IF($O31&gt;D$8,"FIN",(D$16-SUM(Y$25:Y30))*VLOOKUP($O31,$A:$N,4,0)/VLOOKUP(D$13,$K$1:$M$4,2,0))</f>
        <v>0.24249999999999999</v>
      </c>
      <c r="Y31" s="127">
        <f t="shared" si="11"/>
        <v>0</v>
      </c>
      <c r="Z31" s="127">
        <f t="shared" si="12"/>
        <v>0.24249999999999999</v>
      </c>
      <c r="AA31" s="128">
        <f t="shared" si="13"/>
        <v>0.18486622371207806</v>
      </c>
      <c r="AB31" s="130">
        <f>+IF($O31&gt;E$8,"FIN",(E$16-SUM(AC$25:AC30))*VLOOKUP($O31,$A:$N,5,0)/VLOOKUP(E$13,$K$1:$M$4,2,0))</f>
        <v>6.0624999999999998E-2</v>
      </c>
      <c r="AC31" s="127">
        <f t="shared" si="14"/>
        <v>0</v>
      </c>
      <c r="AD31" s="127">
        <f t="shared" si="15"/>
        <v>6.0624999999999998E-2</v>
      </c>
      <c r="AE31" s="128">
        <f t="shared" si="16"/>
        <v>4.6216555928019515E-2</v>
      </c>
      <c r="AF31" s="130">
        <f>+IF($O31&gt;F$8,"FIN",(F$16-SUM(AG$25:AG30))*VLOOKUP($O31,$A:$N,6,0)/VLOOKUP(F$13,$K$1:$M$4,2,0))</f>
        <v>0.72749999999999992</v>
      </c>
      <c r="AG31" s="127">
        <f t="shared" si="17"/>
        <v>0</v>
      </c>
      <c r="AH31" s="127">
        <f t="shared" si="18"/>
        <v>0.72749999999999992</v>
      </c>
      <c r="AI31" s="128">
        <f t="shared" si="19"/>
        <v>0.55459867113623418</v>
      </c>
      <c r="AJ31" s="130">
        <f>+IF($O31&gt;G$8,"FIN",(G$16-SUM(AK$25:AK30))*VLOOKUP($O31,$A:$N,7,0)/VLOOKUP(G$13,$K$1:$M$4,2,0))</f>
        <v>0.42437500000000006</v>
      </c>
      <c r="AK31" s="127">
        <f t="shared" si="20"/>
        <v>0</v>
      </c>
      <c r="AL31" s="127">
        <f t="shared" si="21"/>
        <v>0.42437500000000006</v>
      </c>
      <c r="AM31" s="128">
        <f t="shared" si="22"/>
        <v>0.32351589149613669</v>
      </c>
      <c r="AN31" s="130">
        <f>+IF($O31&gt;H$8,"FIN",(H$16-SUM(AO$25:AO30))*VLOOKUP($O31,$A:$N,8,0)/VLOOKUP(H$13,$K$1:$M$4,2,0))</f>
        <v>1.9375</v>
      </c>
      <c r="AO31" s="127">
        <f t="shared" si="23"/>
        <v>0</v>
      </c>
      <c r="AP31" s="127">
        <f t="shared" si="24"/>
        <v>1.9375</v>
      </c>
      <c r="AQ31" s="128">
        <f t="shared" si="25"/>
        <v>1.477023952338768</v>
      </c>
      <c r="AR31" s="130">
        <f>+IF($O31&gt;I$8,"FIN",(I$16-SUM(AS$25:AS30))*VLOOKUP($O31,$A:$N,9,0)/VLOOKUP(I$13,$K$1:$M$4,2,0))</f>
        <v>1.5</v>
      </c>
      <c r="AS31" s="127">
        <f t="shared" si="26"/>
        <v>0</v>
      </c>
      <c r="AT31" s="127">
        <f t="shared" si="27"/>
        <v>1.5</v>
      </c>
      <c r="AU31" s="128">
        <f t="shared" si="28"/>
        <v>1.143502414713885</v>
      </c>
      <c r="AV31" s="130">
        <f>+IF($O31&gt;J$8,"FIN",(J$16-SUM(AW$25:AW30))*VLOOKUP($O31,$A:$N,10,0)/VLOOKUP(J$13,$K$1:$M$4,2,0))</f>
        <v>1.7500000000000002</v>
      </c>
      <c r="AW31" s="127">
        <f t="shared" si="29"/>
        <v>0</v>
      </c>
      <c r="AX31" s="127">
        <f t="shared" si="30"/>
        <v>1.7500000000000002</v>
      </c>
      <c r="AY31" s="128">
        <f t="shared" si="31"/>
        <v>1.3340861504995327</v>
      </c>
      <c r="AZ31" s="130">
        <f>+IF($O31&gt;K$8,"FIN",(K$16-SUM(BA$25:BA30))*VLOOKUP($O31,$A:$N,11,0)/VLOOKUP(K$13,$K$1:$M$4,2,0))</f>
        <v>1.375</v>
      </c>
      <c r="BA31" s="127">
        <f t="shared" si="32"/>
        <v>0</v>
      </c>
      <c r="BB31" s="127">
        <f t="shared" si="33"/>
        <v>1.375</v>
      </c>
      <c r="BC31" s="128">
        <f t="shared" si="34"/>
        <v>1.0482105468210612</v>
      </c>
      <c r="BD31" s="130">
        <f>+IF($O31&gt;L$8,"FIN",(L$16-SUM(BE$25:BE30))*VLOOKUP($O31,$A:$N,12,0)/VLOOKUP(L$13,$K$1:$M$4,2,0))</f>
        <v>0.72749999999999992</v>
      </c>
      <c r="BE31" s="127">
        <f t="shared" si="35"/>
        <v>0</v>
      </c>
      <c r="BF31" s="127">
        <f t="shared" si="36"/>
        <v>0.72749999999999992</v>
      </c>
      <c r="BG31" s="128">
        <f t="shared" si="37"/>
        <v>0.55459867113623418</v>
      </c>
      <c r="BH31" s="130">
        <f>+IF($O31&gt;M$8,"FIN",(M$16-SUM(BI$25:BI30))*VLOOKUP($O31,$A:$N,13,0)/VLOOKUP(M$13,$K$1:$M$4,2,0))</f>
        <v>0.42437500000000006</v>
      </c>
      <c r="BI31" s="127">
        <f t="shared" si="38"/>
        <v>0</v>
      </c>
      <c r="BJ31" s="127">
        <f t="shared" si="39"/>
        <v>0.42437500000000006</v>
      </c>
      <c r="BK31" s="128">
        <f t="shared" si="40"/>
        <v>0.32351589149613669</v>
      </c>
      <c r="BL31" s="124"/>
      <c r="BM31" s="130">
        <f>+IF($O31&gt;B$8,"FIN",(B$19-SUM(BN$25:BN30))*VLOOKUP($O31,$A:$N,2,0)/VLOOKUP(B$13,$K$1:$M$4,2,0))</f>
        <v>10.475537951446997</v>
      </c>
      <c r="BN31" s="131">
        <f t="shared" si="55"/>
        <v>0</v>
      </c>
      <c r="BO31" s="127">
        <f t="shared" si="73"/>
        <v>10.475537951446997</v>
      </c>
      <c r="BP31" s="130">
        <f>+IF($O31&gt;C$8,"FIN",(C$19-SUM(BQ$25:BQ30))*VLOOKUP($O31,$A:$N,3,0)/VLOOKUP(C$13,$K$1:$M$4,2,0))</f>
        <v>1.4360027944054978</v>
      </c>
      <c r="BQ31" s="131">
        <f t="shared" si="56"/>
        <v>0</v>
      </c>
      <c r="BR31" s="219">
        <f t="shared" si="74"/>
        <v>1.4360027944054978</v>
      </c>
      <c r="BS31" s="130">
        <f>+IF($O31&gt;D$8,"FIN",(D$19-SUM(BT$25:BT30))*VLOOKUP($O31,$A:$N,4,0)/VLOOKUP(D$13,$K$1:$M$4,2,0))</f>
        <v>34.5</v>
      </c>
      <c r="BT31" s="127">
        <f t="shared" si="58"/>
        <v>0</v>
      </c>
      <c r="BU31" s="127">
        <f t="shared" si="43"/>
        <v>34.5</v>
      </c>
      <c r="BV31" s="130">
        <f>+IF($O31&gt;E$8,"FIN",(E$19-SUM(BW$25:BW30))*VLOOKUP($O31,$A:$N,5,0)/VLOOKUP(E$13,$K$1:$M$4,2,0))</f>
        <v>1.9375</v>
      </c>
      <c r="BW31" s="131">
        <f t="shared" si="60"/>
        <v>0</v>
      </c>
      <c r="BX31" s="128">
        <f t="shared" si="44"/>
        <v>1.9375</v>
      </c>
      <c r="BY31" s="130">
        <f>+IF($O31&gt;F$8,"FIN",(F$19-SUM(BZ$25:BZ30))*VLOOKUP($O31,$A:$N,6,0)/VLOOKUP(F$13,$K$1:$M$4,2,0))</f>
        <v>150.67258230000002</v>
      </c>
      <c r="BZ31" s="131">
        <f t="shared" si="61"/>
        <v>0</v>
      </c>
      <c r="CA31" s="128">
        <f t="shared" si="45"/>
        <v>150.67258230000002</v>
      </c>
      <c r="CB31" s="130">
        <f>+IF($O31&gt;G$8,"FIN",(G$19-SUM(CC$25:CC30))*VLOOKUP($O31,$A:$N,7,0)/VLOOKUP(G$13,$K$1:$M$4,2,0))</f>
        <v>10.290015493897789</v>
      </c>
      <c r="CC31" s="131">
        <f t="shared" si="62"/>
        <v>0</v>
      </c>
      <c r="CD31" s="128">
        <f t="shared" si="46"/>
        <v>10.290015493897789</v>
      </c>
      <c r="CE31" s="130">
        <f>+IF($O31&gt;H$8,"FIN",(H$19-SUM(CF$25:CF30))*VLOOKUP($O31,$A:$N,8,0)/VLOOKUP(H$13,$K$1:$M$4,2,0))</f>
        <v>98.666437377500003</v>
      </c>
      <c r="CF31" s="127">
        <f t="shared" si="63"/>
        <v>0</v>
      </c>
      <c r="CG31" s="128">
        <f t="shared" si="47"/>
        <v>98.666437377500003</v>
      </c>
      <c r="CH31" s="130">
        <f>+IF($O31&gt;I$8,"FIN",(I$19-SUM(CI$25:CI30))*VLOOKUP($O31,$A:$N,9,0)/VLOOKUP(I$13,$K$1:$M$4,2,0))</f>
        <v>86.535823065000002</v>
      </c>
      <c r="CI31" s="131">
        <f t="shared" si="64"/>
        <v>0</v>
      </c>
      <c r="CJ31" s="128">
        <f t="shared" si="48"/>
        <v>86.535823065000002</v>
      </c>
      <c r="CK31" s="130">
        <f>+IF($O31&gt;J$8,"FIN",(J$19-SUM(CL$25:CL30))*VLOOKUP($O31,$A:$N,10,0)/VLOOKUP(J$13,$K$1:$M$4,2,0))</f>
        <v>88.087984617500013</v>
      </c>
      <c r="CL31" s="131">
        <f t="shared" si="65"/>
        <v>0</v>
      </c>
      <c r="CM31" s="128">
        <f t="shared" si="49"/>
        <v>88.087984617500013</v>
      </c>
      <c r="CN31" s="130">
        <f>+IF($O31&gt;K$8,"FIN",(K$19-SUM(CO$25:CO30))*VLOOKUP($O31,$A:$N,11,0)/VLOOKUP(K$13,$K$1:$M$4,2,0))</f>
        <v>89.006817597499989</v>
      </c>
      <c r="CO31" s="131">
        <f t="shared" si="66"/>
        <v>0</v>
      </c>
      <c r="CP31" s="128">
        <f t="shared" si="50"/>
        <v>89.006817597499989</v>
      </c>
      <c r="CQ31" s="130">
        <f>+IF($O31&gt;L$8,"FIN",(L$19-SUM(CR$25:CR30))*VLOOKUP($O31,$A:$N,12,0)/VLOOKUP(L$13,$K$1:$M$4,2,0))</f>
        <v>0</v>
      </c>
      <c r="CR31" s="127">
        <f t="shared" si="67"/>
        <v>0</v>
      </c>
      <c r="CS31" s="128">
        <f t="shared" si="51"/>
        <v>0</v>
      </c>
      <c r="CT31" s="130">
        <f>+IF($O31&gt;M$8,"FIN",(M$19-SUM(CU$25:CU30))*VLOOKUP($O31,$A:$N,13,0)/VLOOKUP(M$13,$K$1:$M$4,2,0))</f>
        <v>0</v>
      </c>
      <c r="CU31" s="127">
        <f t="shared" si="68"/>
        <v>0</v>
      </c>
      <c r="CV31" s="128">
        <f t="shared" si="52"/>
        <v>0</v>
      </c>
      <c r="CX31" s="130">
        <f t="shared" si="69"/>
        <v>604.91948797243003</v>
      </c>
      <c r="CY31" s="127">
        <f t="shared" si="70"/>
        <v>0</v>
      </c>
      <c r="CZ31" s="128">
        <f t="shared" si="71"/>
        <v>604.91948797243003</v>
      </c>
      <c r="DA31" s="224">
        <f t="shared" si="72"/>
        <v>2.8472222222222223</v>
      </c>
      <c r="DB31" s="225">
        <f t="shared" si="3"/>
        <v>0</v>
      </c>
    </row>
    <row r="32" spans="1:106" s="16" customFormat="1" x14ac:dyDescent="0.25">
      <c r="A32" s="125">
        <f t="shared" si="53"/>
        <v>45300</v>
      </c>
      <c r="B32" s="164">
        <v>0.01</v>
      </c>
      <c r="C32" s="165">
        <v>5.0000000000000001E-3</v>
      </c>
      <c r="D32" s="136">
        <v>7.4999999999999997E-3</v>
      </c>
      <c r="E32" s="136">
        <v>1.25E-3</v>
      </c>
      <c r="F32" s="136">
        <v>3.6249999999999998E-2</v>
      </c>
      <c r="G32" s="136">
        <v>2.5000000000000001E-2</v>
      </c>
      <c r="H32" s="136">
        <v>4.2500000000000003E-2</v>
      </c>
      <c r="I32" s="136">
        <v>3.7499999999999999E-2</v>
      </c>
      <c r="J32" s="136">
        <v>3.5000000000000003E-2</v>
      </c>
      <c r="K32" s="136">
        <v>0.03</v>
      </c>
      <c r="L32" s="136">
        <v>3.6249999999999998E-2</v>
      </c>
      <c r="M32" s="137">
        <v>2.5000000000000001E-2</v>
      </c>
      <c r="N32" s="124">
        <f t="shared" si="4"/>
        <v>2024</v>
      </c>
      <c r="O32" s="126">
        <f t="shared" si="54"/>
        <v>45300</v>
      </c>
      <c r="P32" s="130">
        <f>+IF($O32&gt;B$8,"FIN",(B$16-SUM(Q$25:Q31))*VLOOKUP($O32,$A:$N,2,0)/VLOOKUP(B$13,$K$1:$M$4,2,0))</f>
        <v>0.5</v>
      </c>
      <c r="Q32" s="127">
        <f t="shared" si="5"/>
        <v>0</v>
      </c>
      <c r="R32" s="127">
        <f t="shared" si="6"/>
        <v>0.5</v>
      </c>
      <c r="S32" s="128">
        <f t="shared" si="7"/>
        <v>0.36342892438056262</v>
      </c>
      <c r="T32" s="130">
        <f>+IF($O32&gt;C$8,"FIN",(C$16-SUM(U$25:U31))*VLOOKUP($O32,$A:$N,3,0)/VLOOKUP(C$13,$K$1:$M$4,2,0))</f>
        <v>0.25</v>
      </c>
      <c r="U32" s="127">
        <f t="shared" si="8"/>
        <v>0</v>
      </c>
      <c r="V32" s="127">
        <f t="shared" si="9"/>
        <v>0.25</v>
      </c>
      <c r="W32" s="128">
        <f t="shared" si="10"/>
        <v>0.18171446219028131</v>
      </c>
      <c r="X32" s="130">
        <f>+IF($O32&gt;D$8,"FIN",(D$16-SUM(Y$25:Y31))*VLOOKUP($O32,$A:$N,4,0)/VLOOKUP(D$13,$K$1:$M$4,2,0))</f>
        <v>0.36374999999999996</v>
      </c>
      <c r="Y32" s="127">
        <f t="shared" si="11"/>
        <v>0</v>
      </c>
      <c r="Z32" s="127">
        <f t="shared" si="12"/>
        <v>0.36374999999999996</v>
      </c>
      <c r="AA32" s="128">
        <f t="shared" si="13"/>
        <v>0.26439454248685929</v>
      </c>
      <c r="AB32" s="130">
        <f>+IF($O32&gt;E$8,"FIN",(E$16-SUM(AC$25:AC31))*VLOOKUP($O32,$A:$N,5,0)/VLOOKUP(E$13,$K$1:$M$4,2,0))</f>
        <v>6.0624999999999998E-2</v>
      </c>
      <c r="AC32" s="127">
        <f t="shared" si="14"/>
        <v>0</v>
      </c>
      <c r="AD32" s="127">
        <f t="shared" si="15"/>
        <v>6.0624999999999998E-2</v>
      </c>
      <c r="AE32" s="128">
        <f t="shared" si="16"/>
        <v>4.4065757081143214E-2</v>
      </c>
      <c r="AF32" s="130">
        <f>+IF($O32&gt;F$8,"FIN",(F$16-SUM(AG$25:AG31))*VLOOKUP($O32,$A:$N,6,0)/VLOOKUP(F$13,$K$1:$M$4,2,0))</f>
        <v>1.7581249999999999</v>
      </c>
      <c r="AG32" s="127">
        <f t="shared" si="17"/>
        <v>0</v>
      </c>
      <c r="AH32" s="127">
        <f t="shared" si="18"/>
        <v>1.7581249999999999</v>
      </c>
      <c r="AI32" s="128">
        <f t="shared" si="19"/>
        <v>1.2779069553531532</v>
      </c>
      <c r="AJ32" s="130">
        <f>+IF($O32&gt;G$8,"FIN",(G$16-SUM(AK$25:AK31))*VLOOKUP($O32,$A:$N,7,0)/VLOOKUP(G$13,$K$1:$M$4,2,0))</f>
        <v>1.2125000000000001</v>
      </c>
      <c r="AK32" s="127">
        <f t="shared" si="20"/>
        <v>0</v>
      </c>
      <c r="AL32" s="127">
        <f t="shared" si="21"/>
        <v>1.2125000000000001</v>
      </c>
      <c r="AM32" s="128">
        <f t="shared" si="22"/>
        <v>0.8813151416228644</v>
      </c>
      <c r="AN32" s="130">
        <f>+IF($O32&gt;H$8,"FIN",(H$16-SUM(AO$25:AO31))*VLOOKUP($O32,$A:$N,8,0)/VLOOKUP(H$13,$K$1:$M$4,2,0))</f>
        <v>2.125</v>
      </c>
      <c r="AO32" s="127">
        <f t="shared" si="23"/>
        <v>0</v>
      </c>
      <c r="AP32" s="127">
        <f t="shared" si="24"/>
        <v>2.125</v>
      </c>
      <c r="AQ32" s="128">
        <f t="shared" si="25"/>
        <v>1.544572928617391</v>
      </c>
      <c r="AR32" s="130">
        <f>+IF($O32&gt;I$8,"FIN",(I$16-SUM(AS$25:AS31))*VLOOKUP($O32,$A:$N,9,0)/VLOOKUP(I$13,$K$1:$M$4,2,0))</f>
        <v>1.875</v>
      </c>
      <c r="AS32" s="127">
        <f t="shared" si="26"/>
        <v>0</v>
      </c>
      <c r="AT32" s="127">
        <f t="shared" si="27"/>
        <v>1.875</v>
      </c>
      <c r="AU32" s="128">
        <f t="shared" si="28"/>
        <v>1.3628584664271097</v>
      </c>
      <c r="AV32" s="130">
        <f>+IF($O32&gt;J$8,"FIN",(J$16-SUM(AW$25:AW31))*VLOOKUP($O32,$A:$N,10,0)/VLOOKUP(J$13,$K$1:$M$4,2,0))</f>
        <v>1.7500000000000002</v>
      </c>
      <c r="AW32" s="127">
        <f t="shared" si="29"/>
        <v>0</v>
      </c>
      <c r="AX32" s="127">
        <f t="shared" si="30"/>
        <v>1.7500000000000002</v>
      </c>
      <c r="AY32" s="128">
        <f t="shared" si="31"/>
        <v>1.2720012353319694</v>
      </c>
      <c r="AZ32" s="130">
        <f>+IF($O32&gt;K$8,"FIN",(K$16-SUM(BA$25:BA31))*VLOOKUP($O32,$A:$N,11,0)/VLOOKUP(K$13,$K$1:$M$4,2,0))</f>
        <v>1.5</v>
      </c>
      <c r="BA32" s="127">
        <f t="shared" si="32"/>
        <v>0</v>
      </c>
      <c r="BB32" s="127">
        <f t="shared" si="33"/>
        <v>1.5</v>
      </c>
      <c r="BC32" s="128">
        <f t="shared" si="34"/>
        <v>1.0902867731416879</v>
      </c>
      <c r="BD32" s="130">
        <f>+IF($O32&gt;L$8,"FIN",(L$16-SUM(BE$25:BE31))*VLOOKUP($O32,$A:$N,12,0)/VLOOKUP(L$13,$K$1:$M$4,2,0))</f>
        <v>1.7581249999999999</v>
      </c>
      <c r="BE32" s="127">
        <f t="shared" si="35"/>
        <v>0</v>
      </c>
      <c r="BF32" s="127">
        <f t="shared" si="36"/>
        <v>1.7581249999999999</v>
      </c>
      <c r="BG32" s="128">
        <f t="shared" si="37"/>
        <v>1.2779069553531532</v>
      </c>
      <c r="BH32" s="130">
        <f>+IF($O32&gt;M$8,"FIN",(M$16-SUM(BI$25:BI31))*VLOOKUP($O32,$A:$N,13,0)/VLOOKUP(M$13,$K$1:$M$4,2,0))</f>
        <v>1.2125000000000001</v>
      </c>
      <c r="BI32" s="127">
        <f t="shared" si="38"/>
        <v>0</v>
      </c>
      <c r="BJ32" s="127">
        <f t="shared" si="39"/>
        <v>1.2125000000000001</v>
      </c>
      <c r="BK32" s="128">
        <f t="shared" si="40"/>
        <v>0.8813151416228644</v>
      </c>
      <c r="BL32" s="124"/>
      <c r="BM32" s="130">
        <f>+IF($O32&gt;B$8,"FIN",(B$19-SUM(BN$25:BN31))*VLOOKUP($O32,$A:$N,2,0)/VLOOKUP(B$13,$K$1:$M$4,2,0))</f>
        <v>10.475537951446997</v>
      </c>
      <c r="BN32" s="131">
        <f t="shared" si="55"/>
        <v>0</v>
      </c>
      <c r="BO32" s="127">
        <f t="shared" si="73"/>
        <v>10.475537951446997</v>
      </c>
      <c r="BP32" s="130">
        <f>+IF($O32&gt;C$8,"FIN",(C$19-SUM(BQ$25:BQ31))*VLOOKUP($O32,$A:$N,3,0)/VLOOKUP(C$13,$K$1:$M$4,2,0))</f>
        <v>1.4360027944054978</v>
      </c>
      <c r="BQ32" s="131">
        <f t="shared" si="56"/>
        <v>0</v>
      </c>
      <c r="BR32" s="219">
        <f t="shared" si="74"/>
        <v>1.4360027944054978</v>
      </c>
      <c r="BS32" s="130">
        <f>+IF($O32&gt;D$8,"FIN",(D$19-SUM(BT$25:BT31))*VLOOKUP($O32,$A:$N,4,0)/VLOOKUP(D$13,$K$1:$M$4,2,0))</f>
        <v>51.75</v>
      </c>
      <c r="BT32" s="127">
        <f t="shared" si="58"/>
        <v>0</v>
      </c>
      <c r="BU32" s="127">
        <f t="shared" si="43"/>
        <v>51.75</v>
      </c>
      <c r="BV32" s="130">
        <f>+IF($O32&gt;E$8,"FIN",(E$19-SUM(BW$25:BW31))*VLOOKUP($O32,$A:$N,5,0)/VLOOKUP(E$13,$K$1:$M$4,2,0))</f>
        <v>1.9375</v>
      </c>
      <c r="BW32" s="131">
        <f t="shared" si="60"/>
        <v>0</v>
      </c>
      <c r="BX32" s="128">
        <f t="shared" si="44"/>
        <v>1.9375</v>
      </c>
      <c r="BY32" s="130">
        <f>+IF($O32&gt;F$8,"FIN",(F$19-SUM(BZ$25:BZ31))*VLOOKUP($O32,$A:$N,6,0)/VLOOKUP(F$13,$K$1:$M$4,2,0))</f>
        <v>364.125407225</v>
      </c>
      <c r="BZ32" s="131">
        <f t="shared" si="61"/>
        <v>0</v>
      </c>
      <c r="CA32" s="128">
        <f t="shared" si="45"/>
        <v>364.125407225</v>
      </c>
      <c r="CB32" s="130">
        <f>+IF($O32&gt;G$8,"FIN",(G$19-SUM(CC$25:CC31))*VLOOKUP($O32,$A:$N,7,0)/VLOOKUP(G$13,$K$1:$M$4,2,0))</f>
        <v>29.400044268279398</v>
      </c>
      <c r="CC32" s="131">
        <f t="shared" si="62"/>
        <v>0</v>
      </c>
      <c r="CD32" s="128">
        <f t="shared" si="46"/>
        <v>29.400044268279398</v>
      </c>
      <c r="CE32" s="130">
        <f>+IF($O32&gt;H$8,"FIN",(H$19-SUM(CF$25:CF31))*VLOOKUP($O32,$A:$N,8,0)/VLOOKUP(H$13,$K$1:$M$4,2,0))</f>
        <v>108.214802285</v>
      </c>
      <c r="CF32" s="127">
        <f t="shared" si="63"/>
        <v>0</v>
      </c>
      <c r="CG32" s="128">
        <f t="shared" si="47"/>
        <v>108.214802285</v>
      </c>
      <c r="CH32" s="130">
        <f>+IF($O32&gt;I$8,"FIN",(I$19-SUM(CI$25:CI31))*VLOOKUP($O32,$A:$N,9,0)/VLOOKUP(I$13,$K$1:$M$4,2,0))</f>
        <v>108.16977883125</v>
      </c>
      <c r="CI32" s="131">
        <f t="shared" si="64"/>
        <v>0</v>
      </c>
      <c r="CJ32" s="128">
        <f t="shared" si="48"/>
        <v>108.16977883125</v>
      </c>
      <c r="CK32" s="130">
        <f>+IF($O32&gt;J$8,"FIN",(J$19-SUM(CL$25:CL31))*VLOOKUP($O32,$A:$N,10,0)/VLOOKUP(J$13,$K$1:$M$4,2,0))</f>
        <v>88.087984617500013</v>
      </c>
      <c r="CL32" s="131">
        <f t="shared" si="65"/>
        <v>0</v>
      </c>
      <c r="CM32" s="128">
        <f t="shared" si="49"/>
        <v>88.087984617500013</v>
      </c>
      <c r="CN32" s="130">
        <f>+IF($O32&gt;K$8,"FIN",(K$19-SUM(CO$25:CO31))*VLOOKUP($O32,$A:$N,11,0)/VLOOKUP(K$13,$K$1:$M$4,2,0))</f>
        <v>97.098346469999996</v>
      </c>
      <c r="CO32" s="131">
        <f t="shared" si="66"/>
        <v>0</v>
      </c>
      <c r="CP32" s="128">
        <f t="shared" si="50"/>
        <v>97.098346469999996</v>
      </c>
      <c r="CQ32" s="130">
        <f>+IF($O32&gt;L$8,"FIN",(L$19-SUM(CR$25:CR31))*VLOOKUP($O32,$A:$N,12,0)/VLOOKUP(L$13,$K$1:$M$4,2,0))</f>
        <v>0</v>
      </c>
      <c r="CR32" s="127">
        <f t="shared" si="67"/>
        <v>0</v>
      </c>
      <c r="CS32" s="128">
        <f t="shared" si="51"/>
        <v>0</v>
      </c>
      <c r="CT32" s="130">
        <f>+IF($O32&gt;M$8,"FIN",(M$19-SUM(CU$25:CU31))*VLOOKUP($O32,$A:$N,13,0)/VLOOKUP(M$13,$K$1:$M$4,2,0))</f>
        <v>0</v>
      </c>
      <c r="CU32" s="127">
        <f t="shared" si="68"/>
        <v>0</v>
      </c>
      <c r="CV32" s="128">
        <f t="shared" si="52"/>
        <v>0</v>
      </c>
      <c r="CX32" s="130">
        <f t="shared" si="69"/>
        <v>902.6039524293351</v>
      </c>
      <c r="CY32" s="127">
        <f t="shared" si="70"/>
        <v>0</v>
      </c>
      <c r="CZ32" s="128">
        <f t="shared" si="71"/>
        <v>902.6039524293351</v>
      </c>
      <c r="DA32" s="224">
        <f t="shared" si="72"/>
        <v>3.3472222222222223</v>
      </c>
      <c r="DB32" s="225">
        <f t="shared" si="3"/>
        <v>0</v>
      </c>
    </row>
    <row r="33" spans="1:106" s="16" customFormat="1" x14ac:dyDescent="0.25">
      <c r="A33" s="125">
        <f t="shared" si="53"/>
        <v>45482</v>
      </c>
      <c r="B33" s="164">
        <v>0.01</v>
      </c>
      <c r="C33" s="165">
        <v>5.0000000000000001E-3</v>
      </c>
      <c r="D33" s="136">
        <v>7.4999999999999997E-3</v>
      </c>
      <c r="E33" s="136">
        <v>1.25E-3</v>
      </c>
      <c r="F33" s="136">
        <v>3.6249999999999998E-2</v>
      </c>
      <c r="G33" s="136">
        <v>2.5000000000000001E-2</v>
      </c>
      <c r="H33" s="136">
        <v>4.2500000000000003E-2</v>
      </c>
      <c r="I33" s="136">
        <v>3.7499999999999999E-2</v>
      </c>
      <c r="J33" s="136">
        <v>3.5000000000000003E-2</v>
      </c>
      <c r="K33" s="136">
        <v>0.03</v>
      </c>
      <c r="L33" s="136">
        <v>3.6249999999999998E-2</v>
      </c>
      <c r="M33" s="137">
        <v>2.5000000000000001E-2</v>
      </c>
      <c r="N33" s="124">
        <f t="shared" si="4"/>
        <v>2024</v>
      </c>
      <c r="O33" s="126">
        <f t="shared" si="54"/>
        <v>45482</v>
      </c>
      <c r="P33" s="130">
        <f>+IF($O33&gt;B$8,"FIN",(B$16-SUM(Q$25:Q32))*VLOOKUP($O33,$A:$N,2,0)/VLOOKUP(B$13,$K$1:$M$4,2,0))</f>
        <v>0.5</v>
      </c>
      <c r="Q33" s="127">
        <f t="shared" si="5"/>
        <v>0</v>
      </c>
      <c r="R33" s="127">
        <f t="shared" si="6"/>
        <v>0.5</v>
      </c>
      <c r="S33" s="128">
        <f t="shared" si="7"/>
        <v>0.3465158832466318</v>
      </c>
      <c r="T33" s="130">
        <f>+IF($O33&gt;C$8,"FIN",(C$16-SUM(U$25:U32))*VLOOKUP($O33,$A:$N,3,0)/VLOOKUP(C$13,$K$1:$M$4,2,0))</f>
        <v>0.25</v>
      </c>
      <c r="U33" s="127">
        <f t="shared" si="8"/>
        <v>0</v>
      </c>
      <c r="V33" s="127">
        <f t="shared" si="9"/>
        <v>0.25</v>
      </c>
      <c r="W33" s="128">
        <f t="shared" si="10"/>
        <v>0.1732579416233159</v>
      </c>
      <c r="X33" s="130">
        <f>+IF($O33&gt;D$8,"FIN",(D$16-SUM(Y$25:Y32))*VLOOKUP($O33,$A:$N,4,0)/VLOOKUP(D$13,$K$1:$M$4,2,0))</f>
        <v>0.36374999999999996</v>
      </c>
      <c r="Y33" s="170">
        <f>+IF($O33&gt;$D$8,"FIN",IF($O33&lt;$D$15,0,$D$16/$D$14/2))</f>
        <v>3.88</v>
      </c>
      <c r="Z33" s="127">
        <f t="shared" si="12"/>
        <v>4.2437499999999995</v>
      </c>
      <c r="AA33" s="128">
        <f t="shared" si="13"/>
        <v>2.9410535590557871</v>
      </c>
      <c r="AB33" s="130">
        <f>+IF($O33&gt;E$8,"FIN",(E$16-SUM(AC$25:AC32))*VLOOKUP($O33,$A:$N,5,0)/VLOOKUP(E$13,$K$1:$M$4,2,0))</f>
        <v>6.0624999999999998E-2</v>
      </c>
      <c r="AC33" s="170">
        <f>+IF($O33&gt;$E$8,"FIN",IF($O33&lt;$E$15,0,$E$16/$E$14/2))</f>
        <v>3.88</v>
      </c>
      <c r="AD33" s="127">
        <f t="shared" si="15"/>
        <v>3.9406249999999998</v>
      </c>
      <c r="AE33" s="128">
        <f t="shared" si="16"/>
        <v>2.7309783048375169</v>
      </c>
      <c r="AF33" s="130">
        <f>+IF($O33&gt;F$8,"FIN",(F$16-SUM(AG$25:AG32))*VLOOKUP($O33,$A:$N,6,0)/VLOOKUP(F$13,$K$1:$M$4,2,0))</f>
        <v>1.7581249999999999</v>
      </c>
      <c r="AG33" s="127">
        <f t="shared" si="17"/>
        <v>0</v>
      </c>
      <c r="AH33" s="127">
        <f t="shared" si="18"/>
        <v>1.7581249999999999</v>
      </c>
      <c r="AI33" s="128">
        <f t="shared" si="19"/>
        <v>1.218436474465969</v>
      </c>
      <c r="AJ33" s="130">
        <f>+IF($O33&gt;G$8,"FIN",(G$16-SUM(AK$25:AK32))*VLOOKUP($O33,$A:$N,7,0)/VLOOKUP(G$13,$K$1:$M$4,2,0))</f>
        <v>1.2125000000000001</v>
      </c>
      <c r="AK33" s="127">
        <f t="shared" si="20"/>
        <v>0</v>
      </c>
      <c r="AL33" s="127">
        <f t="shared" si="21"/>
        <v>1.2125000000000001</v>
      </c>
      <c r="AM33" s="128">
        <f t="shared" si="22"/>
        <v>0.84030101687308223</v>
      </c>
      <c r="AN33" s="130">
        <f>+IF($O33&gt;H$8,"FIN",(H$16-SUM(AO$25:AO32))*VLOOKUP($O33,$A:$N,8,0)/VLOOKUP(H$13,$K$1:$M$4,2,0))</f>
        <v>2.125</v>
      </c>
      <c r="AO33" s="127">
        <f t="shared" si="23"/>
        <v>0</v>
      </c>
      <c r="AP33" s="127">
        <f t="shared" si="24"/>
        <v>2.125</v>
      </c>
      <c r="AQ33" s="128">
        <f t="shared" si="25"/>
        <v>1.4726925037981853</v>
      </c>
      <c r="AR33" s="130">
        <f>+IF($O33&gt;I$8,"FIN",(I$16-SUM(AS$25:AS32))*VLOOKUP($O33,$A:$N,9,0)/VLOOKUP(I$13,$K$1:$M$4,2,0))</f>
        <v>1.875</v>
      </c>
      <c r="AS33" s="127">
        <f t="shared" si="26"/>
        <v>0</v>
      </c>
      <c r="AT33" s="127">
        <f t="shared" si="27"/>
        <v>1.875</v>
      </c>
      <c r="AU33" s="128">
        <f t="shared" si="28"/>
        <v>1.2994345621748693</v>
      </c>
      <c r="AV33" s="130">
        <f>+IF($O33&gt;J$8,"FIN",(J$16-SUM(AW$25:AW32))*VLOOKUP($O33,$A:$N,10,0)/VLOOKUP(J$13,$K$1:$M$4,2,0))</f>
        <v>1.7500000000000002</v>
      </c>
      <c r="AW33" s="127">
        <f t="shared" si="29"/>
        <v>0</v>
      </c>
      <c r="AX33" s="127">
        <f t="shared" si="30"/>
        <v>1.7500000000000002</v>
      </c>
      <c r="AY33" s="128">
        <f t="shared" si="31"/>
        <v>1.2128055913632114</v>
      </c>
      <c r="AZ33" s="130">
        <f>+IF($O33&gt;K$8,"FIN",(K$16-SUM(BA$25:BA32))*VLOOKUP($O33,$A:$N,11,0)/VLOOKUP(K$13,$K$1:$M$4,2,0))</f>
        <v>1.5</v>
      </c>
      <c r="BA33" s="127">
        <f t="shared" si="32"/>
        <v>0</v>
      </c>
      <c r="BB33" s="127">
        <f t="shared" si="33"/>
        <v>1.5</v>
      </c>
      <c r="BC33" s="128">
        <f t="shared" si="34"/>
        <v>1.0395476497398954</v>
      </c>
      <c r="BD33" s="130">
        <f>+IF($O33&gt;L$8,"FIN",(L$16-SUM(BE$25:BE32))*VLOOKUP($O33,$A:$N,12,0)/VLOOKUP(L$13,$K$1:$M$4,2,0))</f>
        <v>1.7581249999999999</v>
      </c>
      <c r="BE33" s="127">
        <f t="shared" si="35"/>
        <v>0</v>
      </c>
      <c r="BF33" s="127">
        <f t="shared" si="36"/>
        <v>1.7581249999999999</v>
      </c>
      <c r="BG33" s="128">
        <f t="shared" si="37"/>
        <v>1.218436474465969</v>
      </c>
      <c r="BH33" s="130">
        <f>+IF($O33&gt;M$8,"FIN",(M$16-SUM(BI$25:BI32))*VLOOKUP($O33,$A:$N,13,0)/VLOOKUP(M$13,$K$1:$M$4,2,0))</f>
        <v>1.2125000000000001</v>
      </c>
      <c r="BI33" s="127">
        <f t="shared" si="38"/>
        <v>0</v>
      </c>
      <c r="BJ33" s="127">
        <f t="shared" si="39"/>
        <v>1.2125000000000001</v>
      </c>
      <c r="BK33" s="128">
        <f t="shared" si="40"/>
        <v>0.84030101687308223</v>
      </c>
      <c r="BL33" s="124"/>
      <c r="BM33" s="130">
        <f>+IF($O33&gt;B$8,"FIN",(B$19-SUM(BN$25:BN32))*VLOOKUP($O33,$A:$N,2,0)/VLOOKUP(B$13,$K$1:$M$4,2,0))</f>
        <v>10.475537951446997</v>
      </c>
      <c r="BN33" s="131">
        <f t="shared" si="55"/>
        <v>0</v>
      </c>
      <c r="BO33" s="127">
        <f t="shared" si="73"/>
        <v>10.475537951446997</v>
      </c>
      <c r="BP33" s="130">
        <f>+IF($O33&gt;C$8,"FIN",(C$19-SUM(BQ$25:BQ32))*VLOOKUP($O33,$A:$N,3,0)/VLOOKUP(C$13,$K$1:$M$4,2,0))</f>
        <v>1.4360027944054978</v>
      </c>
      <c r="BQ33" s="131">
        <f t="shared" si="56"/>
        <v>0</v>
      </c>
      <c r="BR33" s="219">
        <f t="shared" si="74"/>
        <v>1.4360027944054978</v>
      </c>
      <c r="BS33" s="130">
        <f>+IF($O33&gt;D$8,"FIN",(D$19-SUM(BT$25:BT32))*VLOOKUP($O33,$A:$N,4,0)/VLOOKUP(D$13,$K$1:$M$4,2,0))</f>
        <v>51.75</v>
      </c>
      <c r="BT33" s="170">
        <f>+IF($O33&gt;$D$8,"FIN",IF($O33&lt;$D$15,0,$D$19/$D$14))/2</f>
        <v>552</v>
      </c>
      <c r="BU33" s="127">
        <f t="shared" si="43"/>
        <v>603.75</v>
      </c>
      <c r="BV33" s="130">
        <f>+IF($O33&gt;E$8,"FIN",(E$19-SUM(BW$25:BW32))*VLOOKUP($O33,$A:$N,5,0)/VLOOKUP(E$13,$K$1:$M$4,2,0))</f>
        <v>1.9375</v>
      </c>
      <c r="BW33" s="170">
        <f>+IF($O33&gt;$E$8,"FIN",IF($O33&lt;$E$15,0,$E$19/$E$14))/2</f>
        <v>124</v>
      </c>
      <c r="BX33" s="128">
        <f t="shared" si="44"/>
        <v>125.9375</v>
      </c>
      <c r="BY33" s="130">
        <f>+IF($O33&gt;F$8,"FIN",(F$19-SUM(BZ$25:BZ32))*VLOOKUP($O33,$A:$N,6,0)/VLOOKUP(F$13,$K$1:$M$4,2,0))</f>
        <v>364.125407225</v>
      </c>
      <c r="BZ33" s="131">
        <f t="shared" si="61"/>
        <v>0</v>
      </c>
      <c r="CA33" s="128">
        <f t="shared" si="45"/>
        <v>364.125407225</v>
      </c>
      <c r="CB33" s="130">
        <f>+IF($O33&gt;G$8,"FIN",(G$19-SUM(CC$25:CC32))*VLOOKUP($O33,$A:$N,7,0)/VLOOKUP(G$13,$K$1:$M$4,2,0))</f>
        <v>29.400044268279398</v>
      </c>
      <c r="CC33" s="131">
        <f t="shared" si="62"/>
        <v>0</v>
      </c>
      <c r="CD33" s="128">
        <f t="shared" si="46"/>
        <v>29.400044268279398</v>
      </c>
      <c r="CE33" s="130">
        <f>+IF($O33&gt;H$8,"FIN",(H$19-SUM(CF$25:CF32))*VLOOKUP($O33,$A:$N,8,0)/VLOOKUP(H$13,$K$1:$M$4,2,0))</f>
        <v>108.214802285</v>
      </c>
      <c r="CF33" s="127">
        <f t="shared" si="63"/>
        <v>0</v>
      </c>
      <c r="CG33" s="128">
        <f t="shared" si="47"/>
        <v>108.214802285</v>
      </c>
      <c r="CH33" s="130">
        <f>+IF($O33&gt;I$8,"FIN",(I$19-SUM(CI$25:CI32))*VLOOKUP($O33,$A:$N,9,0)/VLOOKUP(I$13,$K$1:$M$4,2,0))</f>
        <v>108.16977883125</v>
      </c>
      <c r="CI33" s="131">
        <f t="shared" si="64"/>
        <v>0</v>
      </c>
      <c r="CJ33" s="128">
        <f t="shared" si="48"/>
        <v>108.16977883125</v>
      </c>
      <c r="CK33" s="130">
        <f>+IF($O33&gt;J$8,"FIN",(J$19-SUM(CL$25:CL32))*VLOOKUP($O33,$A:$N,10,0)/VLOOKUP(J$13,$K$1:$M$4,2,0))</f>
        <v>88.087984617500013</v>
      </c>
      <c r="CL33" s="131">
        <f t="shared" si="65"/>
        <v>0</v>
      </c>
      <c r="CM33" s="128">
        <f t="shared" si="49"/>
        <v>88.087984617500013</v>
      </c>
      <c r="CN33" s="130">
        <f>+IF($O33&gt;K$8,"FIN",(K$19-SUM(CO$25:CO32))*VLOOKUP($O33,$A:$N,11,0)/VLOOKUP(K$13,$K$1:$M$4,2,0))</f>
        <v>97.098346469999996</v>
      </c>
      <c r="CO33" s="131">
        <f t="shared" si="66"/>
        <v>0</v>
      </c>
      <c r="CP33" s="128">
        <f t="shared" si="50"/>
        <v>97.098346469999996</v>
      </c>
      <c r="CQ33" s="130">
        <f>+IF($O33&gt;L$8,"FIN",(L$19-SUM(CR$25:CR32))*VLOOKUP($O33,$A:$N,12,0)/VLOOKUP(L$13,$K$1:$M$4,2,0))</f>
        <v>0</v>
      </c>
      <c r="CR33" s="127">
        <f t="shared" si="67"/>
        <v>0</v>
      </c>
      <c r="CS33" s="128">
        <f t="shared" si="51"/>
        <v>0</v>
      </c>
      <c r="CT33" s="130">
        <f>+IF($O33&gt;M$8,"FIN",(M$19-SUM(CU$25:CU32))*VLOOKUP($O33,$A:$N,13,0)/VLOOKUP(M$13,$K$1:$M$4,2,0))</f>
        <v>0</v>
      </c>
      <c r="CU33" s="127">
        <f t="shared" si="68"/>
        <v>0</v>
      </c>
      <c r="CV33" s="128">
        <f t="shared" si="52"/>
        <v>0</v>
      </c>
      <c r="CX33" s="130">
        <f t="shared" si="69"/>
        <v>902.6039524293351</v>
      </c>
      <c r="CY33" s="127">
        <f t="shared" si="70"/>
        <v>697.83088321768787</v>
      </c>
      <c r="CZ33" s="128">
        <f t="shared" si="71"/>
        <v>1600.434835647023</v>
      </c>
      <c r="DA33" s="224">
        <f t="shared" si="72"/>
        <v>3.8472222222222223</v>
      </c>
      <c r="DB33" s="225">
        <f t="shared" si="3"/>
        <v>2684.7104812680491</v>
      </c>
    </row>
    <row r="34" spans="1:106" s="16" customFormat="1" x14ac:dyDescent="0.25">
      <c r="A34" s="125">
        <f t="shared" si="53"/>
        <v>45666</v>
      </c>
      <c r="B34" s="164">
        <v>0.01</v>
      </c>
      <c r="C34" s="165">
        <v>5.0000000000000001E-3</v>
      </c>
      <c r="D34" s="136">
        <v>7.4999999999999997E-3</v>
      </c>
      <c r="E34" s="136">
        <v>1.25E-3</v>
      </c>
      <c r="F34" s="136">
        <v>4.1250000000000002E-2</v>
      </c>
      <c r="G34" s="136">
        <v>3.875E-2</v>
      </c>
      <c r="H34" s="136">
        <v>0.05</v>
      </c>
      <c r="I34" s="136">
        <v>4.2500000000000003E-2</v>
      </c>
      <c r="J34" s="136">
        <v>3.5000000000000003E-2</v>
      </c>
      <c r="K34" s="136">
        <v>0.03</v>
      </c>
      <c r="L34" s="136">
        <v>4.1250000000000002E-2</v>
      </c>
      <c r="M34" s="137">
        <v>3.7499999999999999E-2</v>
      </c>
      <c r="N34" s="124">
        <f t="shared" si="4"/>
        <v>2025</v>
      </c>
      <c r="O34" s="126">
        <f t="shared" si="54"/>
        <v>45666</v>
      </c>
      <c r="P34" s="130">
        <f>+IF($O34&gt;B$8,"FIN",(B$16-SUM(Q$25:Q33))*VLOOKUP($O34,$A:$N,2,0)/VLOOKUP(B$13,$K$1:$M$4,2,0))</f>
        <v>0.5</v>
      </c>
      <c r="Q34" s="127">
        <f t="shared" si="5"/>
        <v>10</v>
      </c>
      <c r="R34" s="127">
        <f t="shared" si="6"/>
        <v>10.5</v>
      </c>
      <c r="S34" s="128">
        <f t="shared" si="7"/>
        <v>6.9381885563561951</v>
      </c>
      <c r="T34" s="130">
        <f>+IF($O34&gt;C$8,"FIN",(C$16-SUM(U$25:U33))*VLOOKUP($O34,$A:$N,3,0)/VLOOKUP(C$13,$K$1:$M$4,2,0))</f>
        <v>0.25</v>
      </c>
      <c r="U34" s="127">
        <f t="shared" si="8"/>
        <v>10</v>
      </c>
      <c r="V34" s="127">
        <f t="shared" si="9"/>
        <v>10.25</v>
      </c>
      <c r="W34" s="128">
        <f t="shared" si="10"/>
        <v>6.7729935907286665</v>
      </c>
      <c r="X34" s="130">
        <f>+IF($O34&gt;D$8,"FIN",(D$16-SUM(Y$25:Y33))*VLOOKUP($O34,$A:$N,4,0)/VLOOKUP(D$13,$K$1:$M$4,2,0))</f>
        <v>0.34920000000000001</v>
      </c>
      <c r="Y34" s="127">
        <f t="shared" ref="Y34:Y45" si="75">+IF($O34&gt;$D$8,"FIN",IF($O34&lt;$D$15,0,$D$16/$D$14))</f>
        <v>7.76</v>
      </c>
      <c r="Z34" s="127">
        <f t="shared" si="12"/>
        <v>8.1091999999999995</v>
      </c>
      <c r="AA34" s="128">
        <f t="shared" si="13"/>
        <v>5.3583960610670145</v>
      </c>
      <c r="AB34" s="130">
        <f>+IF($O34&gt;E$8,"FIN",(E$16-SUM(AC$25:AC33))*VLOOKUP($O34,$A:$N,5,0)/VLOOKUP(E$13,$K$1:$M$4,2,0))</f>
        <v>5.8200000000000002E-2</v>
      </c>
      <c r="AC34" s="127">
        <f t="shared" ref="AC34:AC45" si="76">+IF($O34&gt;$E$8,"FIN",IF($O34&lt;$E$15,0,$E$16/$E$14))</f>
        <v>7.76</v>
      </c>
      <c r="AD34" s="127">
        <f t="shared" si="15"/>
        <v>7.8182</v>
      </c>
      <c r="AE34" s="128">
        <f t="shared" si="16"/>
        <v>5.1661091210765724</v>
      </c>
      <c r="AF34" s="130">
        <f>+IF($O34&gt;F$8,"FIN",(F$16-SUM(AG$25:AG33))*VLOOKUP($O34,$A:$N,6,0)/VLOOKUP(F$13,$K$1:$M$4,2,0))</f>
        <v>2.0006249999999999</v>
      </c>
      <c r="AG34" s="127">
        <f t="shared" si="17"/>
        <v>0</v>
      </c>
      <c r="AH34" s="127">
        <f t="shared" si="18"/>
        <v>2.0006249999999999</v>
      </c>
      <c r="AI34" s="128">
        <f t="shared" si="19"/>
        <v>1.3219727124342964</v>
      </c>
      <c r="AJ34" s="130">
        <f>+IF($O34&gt;G$8,"FIN",(G$16-SUM(AK$25:AK33))*VLOOKUP($O34,$A:$N,7,0)/VLOOKUP(G$13,$K$1:$M$4,2,0))</f>
        <v>1.879375</v>
      </c>
      <c r="AK34" s="127">
        <f t="shared" si="20"/>
        <v>0</v>
      </c>
      <c r="AL34" s="127">
        <f t="shared" si="21"/>
        <v>1.879375</v>
      </c>
      <c r="AM34" s="128">
        <f t="shared" si="22"/>
        <v>1.2418531541049451</v>
      </c>
      <c r="AN34" s="130">
        <f>+IF($O34&gt;H$8,"FIN",(H$16-SUM(AO$25:AO33))*VLOOKUP($O34,$A:$N,8,0)/VLOOKUP(H$13,$K$1:$M$4,2,0))</f>
        <v>2.5</v>
      </c>
      <c r="AO34" s="127">
        <f t="shared" si="23"/>
        <v>0</v>
      </c>
      <c r="AP34" s="127">
        <f t="shared" si="24"/>
        <v>2.5</v>
      </c>
      <c r="AQ34" s="128">
        <f t="shared" si="25"/>
        <v>1.6519496562752847</v>
      </c>
      <c r="AR34" s="130">
        <f>+IF($O34&gt;I$8,"FIN",(I$16-SUM(AS$25:AS33))*VLOOKUP($O34,$A:$N,9,0)/VLOOKUP(I$13,$K$1:$M$4,2,0))</f>
        <v>2.125</v>
      </c>
      <c r="AS34" s="127">
        <f t="shared" si="26"/>
        <v>0</v>
      </c>
      <c r="AT34" s="127">
        <f t="shared" si="27"/>
        <v>2.125</v>
      </c>
      <c r="AU34" s="128">
        <f t="shared" si="28"/>
        <v>1.4041572078339919</v>
      </c>
      <c r="AV34" s="130">
        <f>+IF($O34&gt;J$8,"FIN",(J$16-SUM(AW$25:AW33))*VLOOKUP($O34,$A:$N,10,0)/VLOOKUP(J$13,$K$1:$M$4,2,0))</f>
        <v>1.7500000000000002</v>
      </c>
      <c r="AW34" s="127">
        <f t="shared" si="29"/>
        <v>0</v>
      </c>
      <c r="AX34" s="127">
        <f t="shared" si="30"/>
        <v>1.7500000000000002</v>
      </c>
      <c r="AY34" s="128">
        <f t="shared" si="31"/>
        <v>1.1563647593926993</v>
      </c>
      <c r="AZ34" s="130">
        <f>+IF($O34&gt;K$8,"FIN",(K$16-SUM(BA$25:BA33))*VLOOKUP($O34,$A:$N,11,0)/VLOOKUP(K$13,$K$1:$M$4,2,0))</f>
        <v>1.5</v>
      </c>
      <c r="BA34" s="127">
        <f t="shared" si="32"/>
        <v>0</v>
      </c>
      <c r="BB34" s="127">
        <f t="shared" si="33"/>
        <v>1.5</v>
      </c>
      <c r="BC34" s="128">
        <f t="shared" si="34"/>
        <v>0.99116979376517078</v>
      </c>
      <c r="BD34" s="130">
        <f>+IF($O34&gt;L$8,"FIN",(L$16-SUM(BE$25:BE33))*VLOOKUP($O34,$A:$N,12,0)/VLOOKUP(L$13,$K$1:$M$4,2,0))</f>
        <v>2.0006249999999999</v>
      </c>
      <c r="BE34" s="127">
        <f t="shared" si="35"/>
        <v>2.2045454545454546</v>
      </c>
      <c r="BF34" s="127">
        <f t="shared" si="36"/>
        <v>4.2051704545454545</v>
      </c>
      <c r="BG34" s="128">
        <f t="shared" si="37"/>
        <v>2.7786919547861384</v>
      </c>
      <c r="BH34" s="130">
        <f>+IF($O34&gt;M$8,"FIN",(M$16-SUM(BI$25:BI33))*VLOOKUP($O34,$A:$N,13,0)/VLOOKUP(M$13,$K$1:$M$4,2,0))</f>
        <v>1.8187499999999999</v>
      </c>
      <c r="BI34" s="127">
        <f t="shared" si="38"/>
        <v>2.2045454545454546</v>
      </c>
      <c r="BJ34" s="127">
        <f t="shared" si="39"/>
        <v>4.0232954545454547</v>
      </c>
      <c r="BK34" s="128">
        <f t="shared" si="40"/>
        <v>2.6585126172921116</v>
      </c>
      <c r="BL34" s="124"/>
      <c r="BM34" s="130">
        <f>+IF($O34&gt;B$8,"FIN",(B$19-SUM(BN$25:BN33))*VLOOKUP($O34,$A:$N,2,0)/VLOOKUP(B$13,$K$1:$M$4,2,0))</f>
        <v>10.475537951446997</v>
      </c>
      <c r="BN34" s="131">
        <f t="shared" si="55"/>
        <v>209.51075902893996</v>
      </c>
      <c r="BO34" s="127">
        <f t="shared" si="73"/>
        <v>219.98629698038695</v>
      </c>
      <c r="BP34" s="130">
        <f>+IF($O34&gt;C$8,"FIN",(C$19-SUM(BQ$25:BQ33))*VLOOKUP($O34,$A:$N,3,0)/VLOOKUP(C$13,$K$1:$M$4,2,0))</f>
        <v>1.4360027944054978</v>
      </c>
      <c r="BQ34" s="131">
        <f t="shared" si="56"/>
        <v>57.440111776219908</v>
      </c>
      <c r="BR34" s="219">
        <f t="shared" si="74"/>
        <v>58.876114570625404</v>
      </c>
      <c r="BS34" s="130">
        <f>+IF($O34&gt;D$8,"FIN",(D$19-SUM(BT$25:BT33))*VLOOKUP($O34,$A:$N,4,0)/VLOOKUP(D$13,$K$1:$M$4,2,0))</f>
        <v>49.68</v>
      </c>
      <c r="BT34" s="127">
        <f t="shared" ref="BT34:BT45" si="77">+IF($O34&gt;$D$8,"FIN",IF($O34&lt;$D$15,0,$D$19/$D$14))</f>
        <v>1104</v>
      </c>
      <c r="BU34" s="127">
        <f t="shared" si="43"/>
        <v>1153.68</v>
      </c>
      <c r="BV34" s="130">
        <f>+IF($O34&gt;E$8,"FIN",(E$19-SUM(BW$25:BW33))*VLOOKUP($O34,$A:$N,5,0)/VLOOKUP(E$13,$K$1:$M$4,2,0))</f>
        <v>1.86</v>
      </c>
      <c r="BW34" s="131">
        <f t="shared" ref="BW34:BW45" si="78">+IF($O34&gt;$E$8,"FIN",IF($O34&lt;$E$15,0,$E$19/$E$14))</f>
        <v>248</v>
      </c>
      <c r="BX34" s="128">
        <f t="shared" si="44"/>
        <v>249.86</v>
      </c>
      <c r="BY34" s="130">
        <f>+IF($O34&gt;F$8,"FIN",(F$19-SUM(BZ$25:BZ33))*VLOOKUP($O34,$A:$N,6,0)/VLOOKUP(F$13,$K$1:$M$4,2,0))</f>
        <v>414.34960132500004</v>
      </c>
      <c r="BZ34" s="131">
        <f t="shared" si="61"/>
        <v>0</v>
      </c>
      <c r="CA34" s="128">
        <f t="shared" si="45"/>
        <v>414.34960132500004</v>
      </c>
      <c r="CB34" s="130">
        <f>+IF($O34&gt;G$8,"FIN",(G$19-SUM(CC$25:CC33))*VLOOKUP($O34,$A:$N,7,0)/VLOOKUP(G$13,$K$1:$M$4,2,0))</f>
        <v>45.570068615833065</v>
      </c>
      <c r="CC34" s="131">
        <f t="shared" si="62"/>
        <v>0</v>
      </c>
      <c r="CD34" s="128">
        <f t="shared" si="46"/>
        <v>45.570068615833065</v>
      </c>
      <c r="CE34" s="130">
        <f>+IF($O34&gt;H$8,"FIN",(H$19-SUM(CF$25:CF33))*VLOOKUP($O34,$A:$N,8,0)/VLOOKUP(H$13,$K$1:$M$4,2,0))</f>
        <v>127.31153210000001</v>
      </c>
      <c r="CF34" s="127">
        <f t="shared" si="63"/>
        <v>0</v>
      </c>
      <c r="CG34" s="128">
        <f t="shared" si="47"/>
        <v>127.31153210000001</v>
      </c>
      <c r="CH34" s="130">
        <f>+IF($O34&gt;I$8,"FIN",(I$19-SUM(CI$25:CI33))*VLOOKUP($O34,$A:$N,9,0)/VLOOKUP(I$13,$K$1:$M$4,2,0))</f>
        <v>122.59241600875002</v>
      </c>
      <c r="CI34" s="131">
        <f t="shared" si="64"/>
        <v>0</v>
      </c>
      <c r="CJ34" s="128">
        <f t="shared" si="48"/>
        <v>122.59241600875002</v>
      </c>
      <c r="CK34" s="130">
        <f>+IF($O34&gt;J$8,"FIN",(J$19-SUM(CL$25:CL33))*VLOOKUP($O34,$A:$N,10,0)/VLOOKUP(J$13,$K$1:$M$4,2,0))</f>
        <v>88.087984617500013</v>
      </c>
      <c r="CL34" s="131">
        <f t="shared" si="65"/>
        <v>0</v>
      </c>
      <c r="CM34" s="128">
        <f t="shared" si="49"/>
        <v>88.087984617500013</v>
      </c>
      <c r="CN34" s="130">
        <f>+IF($O34&gt;K$8,"FIN",(K$19-SUM(CO$25:CO33))*VLOOKUP($O34,$A:$N,11,0)/VLOOKUP(K$13,$K$1:$M$4,2,0))</f>
        <v>97.098346469999996</v>
      </c>
      <c r="CO34" s="131">
        <f t="shared" si="66"/>
        <v>0</v>
      </c>
      <c r="CP34" s="128">
        <f t="shared" si="50"/>
        <v>97.098346469999996</v>
      </c>
      <c r="CQ34" s="130">
        <f>+IF($O34&gt;L$8,"FIN",(L$19-SUM(CR$25:CR33))*VLOOKUP($O34,$A:$N,12,0)/VLOOKUP(L$13,$K$1:$M$4,2,0))</f>
        <v>0</v>
      </c>
      <c r="CR34" s="127">
        <f t="shared" si="67"/>
        <v>0</v>
      </c>
      <c r="CS34" s="128">
        <f t="shared" si="51"/>
        <v>0</v>
      </c>
      <c r="CT34" s="130">
        <f>+IF($O34&gt;M$8,"FIN",(M$19-SUM(CU$25:CU33))*VLOOKUP($O34,$A:$N,13,0)/VLOOKUP(M$13,$K$1:$M$4,2,0))</f>
        <v>0</v>
      </c>
      <c r="CU34" s="127">
        <f t="shared" si="68"/>
        <v>0</v>
      </c>
      <c r="CV34" s="128">
        <f t="shared" si="52"/>
        <v>0</v>
      </c>
      <c r="CX34" s="130">
        <f t="shared" si="69"/>
        <v>1005.7424001889235</v>
      </c>
      <c r="CY34" s="127">
        <f t="shared" si="70"/>
        <v>1672.7252854034195</v>
      </c>
      <c r="CZ34" s="128">
        <f t="shared" si="71"/>
        <v>2678.4676855923431</v>
      </c>
      <c r="DA34" s="224">
        <f t="shared" si="72"/>
        <v>4.3472222222222223</v>
      </c>
      <c r="DB34" s="225">
        <f t="shared" si="3"/>
        <v>7271.7085323787542</v>
      </c>
    </row>
    <row r="35" spans="1:106" s="16" customFormat="1" x14ac:dyDescent="0.25">
      <c r="A35" s="125">
        <f t="shared" si="53"/>
        <v>45847</v>
      </c>
      <c r="B35" s="164">
        <v>0.01</v>
      </c>
      <c r="C35" s="165">
        <v>5.0000000000000001E-3</v>
      </c>
      <c r="D35" s="136">
        <v>7.4999999999999997E-3</v>
      </c>
      <c r="E35" s="136">
        <v>1.25E-3</v>
      </c>
      <c r="F35" s="136">
        <v>4.1250000000000002E-2</v>
      </c>
      <c r="G35" s="136">
        <v>3.875E-2</v>
      </c>
      <c r="H35" s="136">
        <v>0.05</v>
      </c>
      <c r="I35" s="136">
        <v>4.2500000000000003E-2</v>
      </c>
      <c r="J35" s="136">
        <v>3.5000000000000003E-2</v>
      </c>
      <c r="K35" s="136">
        <v>0.03</v>
      </c>
      <c r="L35" s="136">
        <v>4.1250000000000002E-2</v>
      </c>
      <c r="M35" s="137">
        <v>3.7499999999999999E-2</v>
      </c>
      <c r="N35" s="124">
        <f t="shared" si="4"/>
        <v>2025</v>
      </c>
      <c r="O35" s="126">
        <f t="shared" si="54"/>
        <v>45847</v>
      </c>
      <c r="P35" s="130">
        <f>+IF($O35&gt;B$8,"FIN",(B$16-SUM(Q$25:Q34))*VLOOKUP($O35,$A:$N,2,0)/VLOOKUP(B$13,$K$1:$M$4,2,0))</f>
        <v>0.45</v>
      </c>
      <c r="Q35" s="127">
        <f t="shared" si="5"/>
        <v>10</v>
      </c>
      <c r="R35" s="127">
        <f t="shared" si="6"/>
        <v>10.45</v>
      </c>
      <c r="S35" s="128">
        <f t="shared" si="7"/>
        <v>6.5838017816860042</v>
      </c>
      <c r="T35" s="130">
        <f>+IF($O35&gt;C$8,"FIN",(C$16-SUM(U$25:U34))*VLOOKUP($O35,$A:$N,3,0)/VLOOKUP(C$13,$K$1:$M$4,2,0))</f>
        <v>0.22500000000000001</v>
      </c>
      <c r="U35" s="127">
        <f t="shared" si="8"/>
        <v>10</v>
      </c>
      <c r="V35" s="127">
        <f t="shared" si="9"/>
        <v>10.225</v>
      </c>
      <c r="W35" s="128">
        <f t="shared" si="10"/>
        <v>6.4420452839942</v>
      </c>
      <c r="X35" s="130">
        <f>+IF($O35&gt;D$8,"FIN",(D$16-SUM(Y$25:Y34))*VLOOKUP($O35,$A:$N,4,0)/VLOOKUP(D$13,$K$1:$M$4,2,0))</f>
        <v>0.3201</v>
      </c>
      <c r="Y35" s="127">
        <f t="shared" si="75"/>
        <v>7.76</v>
      </c>
      <c r="Z35" s="127">
        <f t="shared" si="12"/>
        <v>8.0800999999999998</v>
      </c>
      <c r="AA35" s="128">
        <f t="shared" si="13"/>
        <v>5.0906963422201992</v>
      </c>
      <c r="AB35" s="130">
        <f>+IF($O35&gt;E$8,"FIN",(E$16-SUM(AC$25:AC34))*VLOOKUP($O35,$A:$N,5,0)/VLOOKUP(E$13,$K$1:$M$4,2,0))</f>
        <v>5.3350000000000002E-2</v>
      </c>
      <c r="AC35" s="127">
        <f t="shared" si="76"/>
        <v>7.76</v>
      </c>
      <c r="AD35" s="127">
        <f t="shared" si="15"/>
        <v>7.8133499999999998</v>
      </c>
      <c r="AE35" s="128">
        <f t="shared" si="16"/>
        <v>4.9226361388455828</v>
      </c>
      <c r="AF35" s="130">
        <f>+IF($O35&gt;F$8,"FIN",(F$16-SUM(AG$25:AG34))*VLOOKUP($O35,$A:$N,6,0)/VLOOKUP(F$13,$K$1:$M$4,2,0))</f>
        <v>2.0006249999999999</v>
      </c>
      <c r="AG35" s="127">
        <f t="shared" si="17"/>
        <v>0</v>
      </c>
      <c r="AH35" s="127">
        <f t="shared" si="18"/>
        <v>2.0006249999999999</v>
      </c>
      <c r="AI35" s="128">
        <f t="shared" si="19"/>
        <v>1.2604515253096231</v>
      </c>
      <c r="AJ35" s="130">
        <f>+IF($O35&gt;G$8,"FIN",(G$16-SUM(AK$25:AK34))*VLOOKUP($O35,$A:$N,7,0)/VLOOKUP(G$13,$K$1:$M$4,2,0))</f>
        <v>1.879375</v>
      </c>
      <c r="AK35" s="127">
        <f t="shared" si="20"/>
        <v>0</v>
      </c>
      <c r="AL35" s="127">
        <f t="shared" si="21"/>
        <v>1.879375</v>
      </c>
      <c r="AM35" s="128">
        <f t="shared" si="22"/>
        <v>1.1840605237757067</v>
      </c>
      <c r="AN35" s="130">
        <f>+IF($O35&gt;H$8,"FIN",(H$16-SUM(AO$25:AO34))*VLOOKUP($O35,$A:$N,8,0)/VLOOKUP(H$13,$K$1:$M$4,2,0))</f>
        <v>2.5</v>
      </c>
      <c r="AO35" s="127">
        <f t="shared" si="23"/>
        <v>0</v>
      </c>
      <c r="AP35" s="127">
        <f t="shared" si="24"/>
        <v>2.5</v>
      </c>
      <c r="AQ35" s="128">
        <f t="shared" si="25"/>
        <v>1.5750721965755992</v>
      </c>
      <c r="AR35" s="130">
        <f>+IF($O35&gt;I$8,"FIN",(I$16-SUM(AS$25:AS34))*VLOOKUP($O35,$A:$N,9,0)/VLOOKUP(I$13,$K$1:$M$4,2,0))</f>
        <v>2.125</v>
      </c>
      <c r="AS35" s="127">
        <f t="shared" si="26"/>
        <v>0</v>
      </c>
      <c r="AT35" s="127">
        <f t="shared" si="27"/>
        <v>2.125</v>
      </c>
      <c r="AU35" s="128">
        <f t="shared" si="28"/>
        <v>1.3388113670892592</v>
      </c>
      <c r="AV35" s="130">
        <f>+IF($O35&gt;J$8,"FIN",(J$16-SUM(AW$25:AW34))*VLOOKUP($O35,$A:$N,10,0)/VLOOKUP(J$13,$K$1:$M$4,2,0))</f>
        <v>1.7500000000000002</v>
      </c>
      <c r="AW35" s="127">
        <f t="shared" si="29"/>
        <v>0</v>
      </c>
      <c r="AX35" s="127">
        <f t="shared" si="30"/>
        <v>1.7500000000000002</v>
      </c>
      <c r="AY35" s="128">
        <f t="shared" si="31"/>
        <v>1.1025505376029194</v>
      </c>
      <c r="AZ35" s="130">
        <f>+IF($O35&gt;K$8,"FIN",(K$16-SUM(BA$25:BA34))*VLOOKUP($O35,$A:$N,11,0)/VLOOKUP(K$13,$K$1:$M$4,2,0))</f>
        <v>1.5</v>
      </c>
      <c r="BA35" s="127">
        <f t="shared" si="32"/>
        <v>0</v>
      </c>
      <c r="BB35" s="127">
        <f t="shared" si="33"/>
        <v>1.5</v>
      </c>
      <c r="BC35" s="128">
        <f t="shared" si="34"/>
        <v>0.94504331794535945</v>
      </c>
      <c r="BD35" s="130">
        <f>+IF($O35&gt;L$8,"FIN",(L$16-SUM(BE$25:BE34))*VLOOKUP($O35,$A:$N,12,0)/VLOOKUP(L$13,$K$1:$M$4,2,0))</f>
        <v>1.9551562500000002</v>
      </c>
      <c r="BE35" s="127">
        <f t="shared" si="35"/>
        <v>2.2045454545454546</v>
      </c>
      <c r="BF35" s="127">
        <f t="shared" si="36"/>
        <v>4.159701704545455</v>
      </c>
      <c r="BG35" s="128">
        <f t="shared" si="37"/>
        <v>2.6207322003510694</v>
      </c>
      <c r="BH35" s="130">
        <f>+IF($O35&gt;M$8,"FIN",(M$16-SUM(BI$25:BI34))*VLOOKUP($O35,$A:$N,13,0)/VLOOKUP(M$13,$K$1:$M$4,2,0))</f>
        <v>1.7774147727272727</v>
      </c>
      <c r="BI35" s="127">
        <f t="shared" si="38"/>
        <v>2.2045454545454546</v>
      </c>
      <c r="BJ35" s="127">
        <f t="shared" si="39"/>
        <v>3.9819602272727272</v>
      </c>
      <c r="BK35" s="128">
        <f t="shared" si="40"/>
        <v>2.5087499367388504</v>
      </c>
      <c r="BL35" s="124"/>
      <c r="BM35" s="130">
        <f>+IF($O35&gt;B$8,"FIN",(B$19-SUM(BN$25:BN34))*VLOOKUP($O35,$A:$N,2,0)/VLOOKUP(B$13,$K$1:$M$4,2,0))</f>
        <v>9.4279841563022977</v>
      </c>
      <c r="BN35" s="131">
        <f t="shared" si="55"/>
        <v>209.51075902893996</v>
      </c>
      <c r="BO35" s="127">
        <f t="shared" si="73"/>
        <v>218.93874318524226</v>
      </c>
      <c r="BP35" s="130">
        <f>+IF($O35&gt;C$8,"FIN",(C$19-SUM(BQ$25:BQ34))*VLOOKUP($O35,$A:$N,3,0)/VLOOKUP(C$13,$K$1:$M$4,2,0))</f>
        <v>1.2924025149649481</v>
      </c>
      <c r="BQ35" s="131">
        <f t="shared" si="56"/>
        <v>57.440111776219908</v>
      </c>
      <c r="BR35" s="219">
        <f t="shared" si="74"/>
        <v>58.732514291184856</v>
      </c>
      <c r="BS35" s="130">
        <f>+IF($O35&gt;D$8,"FIN",(D$19-SUM(BT$25:BT34))*VLOOKUP($O35,$A:$N,4,0)/VLOOKUP(D$13,$K$1:$M$4,2,0))</f>
        <v>45.54</v>
      </c>
      <c r="BT35" s="127">
        <f t="shared" si="77"/>
        <v>1104</v>
      </c>
      <c r="BU35" s="127">
        <f t="shared" si="43"/>
        <v>1149.54</v>
      </c>
      <c r="BV35" s="130">
        <f>+IF($O35&gt;E$8,"FIN",(E$19-SUM(BW$25:BW34))*VLOOKUP($O35,$A:$N,5,0)/VLOOKUP(E$13,$K$1:$M$4,2,0))</f>
        <v>1.7050000000000001</v>
      </c>
      <c r="BW35" s="131">
        <f t="shared" si="78"/>
        <v>248</v>
      </c>
      <c r="BX35" s="128">
        <f t="shared" si="44"/>
        <v>249.70500000000001</v>
      </c>
      <c r="BY35" s="130">
        <f>+IF($O35&gt;F$8,"FIN",(F$19-SUM(BZ$25:BZ34))*VLOOKUP($O35,$A:$N,6,0)/VLOOKUP(F$13,$K$1:$M$4,2,0))</f>
        <v>414.34960132500004</v>
      </c>
      <c r="BZ35" s="131">
        <f t="shared" si="61"/>
        <v>0</v>
      </c>
      <c r="CA35" s="128">
        <f t="shared" si="45"/>
        <v>414.34960132500004</v>
      </c>
      <c r="CB35" s="130">
        <f>+IF($O35&gt;G$8,"FIN",(G$19-SUM(CC$25:CC34))*VLOOKUP($O35,$A:$N,7,0)/VLOOKUP(G$13,$K$1:$M$4,2,0))</f>
        <v>45.570068615833065</v>
      </c>
      <c r="CC35" s="131">
        <f t="shared" si="62"/>
        <v>0</v>
      </c>
      <c r="CD35" s="128">
        <f t="shared" si="46"/>
        <v>45.570068615833065</v>
      </c>
      <c r="CE35" s="130">
        <f>+IF($O35&gt;H$8,"FIN",(H$19-SUM(CF$25:CF34))*VLOOKUP($O35,$A:$N,8,0)/VLOOKUP(H$13,$K$1:$M$4,2,0))</f>
        <v>127.31153210000001</v>
      </c>
      <c r="CF35" s="127">
        <f t="shared" si="63"/>
        <v>0</v>
      </c>
      <c r="CG35" s="128">
        <f t="shared" si="47"/>
        <v>127.31153210000001</v>
      </c>
      <c r="CH35" s="130">
        <f>+IF($O35&gt;I$8,"FIN",(I$19-SUM(CI$25:CI34))*VLOOKUP($O35,$A:$N,9,0)/VLOOKUP(I$13,$K$1:$M$4,2,0))</f>
        <v>122.59241600875002</v>
      </c>
      <c r="CI35" s="131">
        <f t="shared" si="64"/>
        <v>0</v>
      </c>
      <c r="CJ35" s="128">
        <f t="shared" si="48"/>
        <v>122.59241600875002</v>
      </c>
      <c r="CK35" s="130">
        <f>+IF($O35&gt;J$8,"FIN",(J$19-SUM(CL$25:CL34))*VLOOKUP($O35,$A:$N,10,0)/VLOOKUP(J$13,$K$1:$M$4,2,0))</f>
        <v>88.087984617500013</v>
      </c>
      <c r="CL35" s="131">
        <f t="shared" si="65"/>
        <v>0</v>
      </c>
      <c r="CM35" s="128">
        <f t="shared" si="49"/>
        <v>88.087984617500013</v>
      </c>
      <c r="CN35" s="130">
        <f>+IF($O35&gt;K$8,"FIN",(K$19-SUM(CO$25:CO34))*VLOOKUP($O35,$A:$N,11,0)/VLOOKUP(K$13,$K$1:$M$4,2,0))</f>
        <v>97.098346469999996</v>
      </c>
      <c r="CO35" s="131">
        <f t="shared" si="66"/>
        <v>0</v>
      </c>
      <c r="CP35" s="128">
        <f t="shared" si="50"/>
        <v>97.098346469999996</v>
      </c>
      <c r="CQ35" s="130">
        <f>+IF($O35&gt;L$8,"FIN",(L$19-SUM(CR$25:CR34))*VLOOKUP($O35,$A:$N,12,0)/VLOOKUP(L$13,$K$1:$M$4,2,0))</f>
        <v>0</v>
      </c>
      <c r="CR35" s="127">
        <f t="shared" si="67"/>
        <v>0</v>
      </c>
      <c r="CS35" s="128">
        <f t="shared" si="51"/>
        <v>0</v>
      </c>
      <c r="CT35" s="130">
        <f>+IF($O35&gt;M$8,"FIN",(M$19-SUM(CU$25:CU34))*VLOOKUP($O35,$A:$N,13,0)/VLOOKUP(M$13,$K$1:$M$4,2,0))</f>
        <v>0</v>
      </c>
      <c r="CU35" s="127">
        <f t="shared" si="68"/>
        <v>0</v>
      </c>
      <c r="CV35" s="128">
        <f t="shared" si="52"/>
        <v>0</v>
      </c>
      <c r="CX35" s="130">
        <f t="shared" si="69"/>
        <v>1000.2036758899091</v>
      </c>
      <c r="CY35" s="127">
        <f t="shared" si="70"/>
        <v>1672.7252854034195</v>
      </c>
      <c r="CZ35" s="128">
        <f t="shared" si="71"/>
        <v>2672.9289612933285</v>
      </c>
      <c r="DA35" s="224">
        <f t="shared" si="72"/>
        <v>4.8472222222222223</v>
      </c>
      <c r="DB35" s="225">
        <f t="shared" si="3"/>
        <v>8108.0711750804639</v>
      </c>
    </row>
    <row r="36" spans="1:106" s="16" customFormat="1" x14ac:dyDescent="0.25">
      <c r="A36" s="125">
        <f t="shared" si="53"/>
        <v>46031</v>
      </c>
      <c r="B36" s="164">
        <v>0.01</v>
      </c>
      <c r="C36" s="165">
        <v>5.0000000000000001E-3</v>
      </c>
      <c r="D36" s="136">
        <v>7.4999999999999997E-3</v>
      </c>
      <c r="E36" s="136">
        <v>1.25E-3</v>
      </c>
      <c r="F36" s="136">
        <v>4.1250000000000002E-2</v>
      </c>
      <c r="G36" s="136">
        <v>3.875E-2</v>
      </c>
      <c r="H36" s="136">
        <v>0.05</v>
      </c>
      <c r="I36" s="136">
        <v>4.2500000000000003E-2</v>
      </c>
      <c r="J36" s="136">
        <v>3.5000000000000003E-2</v>
      </c>
      <c r="K36" s="136">
        <v>0.03</v>
      </c>
      <c r="L36" s="136">
        <v>4.1250000000000002E-2</v>
      </c>
      <c r="M36" s="137">
        <v>0.04</v>
      </c>
      <c r="N36" s="124">
        <f t="shared" si="4"/>
        <v>2026</v>
      </c>
      <c r="O36" s="126">
        <f t="shared" si="54"/>
        <v>46031</v>
      </c>
      <c r="P36" s="130">
        <f>+IF($O36&gt;B$8,"FIN",(B$16-SUM(Q$25:Q35))*VLOOKUP($O36,$A:$N,2,0)/VLOOKUP(B$13,$K$1:$M$4,2,0))</f>
        <v>0.4</v>
      </c>
      <c r="Q36" s="127">
        <f t="shared" si="5"/>
        <v>10</v>
      </c>
      <c r="R36" s="127">
        <f t="shared" si="6"/>
        <v>10.4</v>
      </c>
      <c r="S36" s="128">
        <f t="shared" si="7"/>
        <v>6.2473732455501665</v>
      </c>
      <c r="T36" s="130">
        <f>+IF($O36&gt;C$8,"FIN",(C$16-SUM(U$25:U35))*VLOOKUP($O36,$A:$N,3,0)/VLOOKUP(C$13,$K$1:$M$4,2,0))</f>
        <v>0.2</v>
      </c>
      <c r="U36" s="127">
        <f t="shared" si="8"/>
        <v>10</v>
      </c>
      <c r="V36" s="127">
        <f t="shared" si="9"/>
        <v>10.199999999999999</v>
      </c>
      <c r="W36" s="128">
        <f t="shared" si="10"/>
        <v>6.1272314523665088</v>
      </c>
      <c r="X36" s="130">
        <f>+IF($O36&gt;D$8,"FIN",(D$16-SUM(Y$25:Y35))*VLOOKUP($O36,$A:$N,4,0)/VLOOKUP(D$13,$K$1:$M$4,2,0))</f>
        <v>0.29099999999999998</v>
      </c>
      <c r="Y36" s="127">
        <f t="shared" si="75"/>
        <v>7.76</v>
      </c>
      <c r="Z36" s="127">
        <f t="shared" si="12"/>
        <v>8.0510000000000002</v>
      </c>
      <c r="AA36" s="128">
        <f t="shared" si="13"/>
        <v>4.8363078846081144</v>
      </c>
      <c r="AB36" s="130">
        <f>+IF($O36&gt;E$8,"FIN",(E$16-SUM(AC$25:AC35))*VLOOKUP($O36,$A:$N,5,0)/VLOOKUP(E$13,$K$1:$M$4,2,0))</f>
        <v>4.8499999999999995E-2</v>
      </c>
      <c r="AC36" s="127">
        <f t="shared" si="76"/>
        <v>7.76</v>
      </c>
      <c r="AD36" s="127">
        <f t="shared" si="15"/>
        <v>7.8084999999999996</v>
      </c>
      <c r="AE36" s="128">
        <f t="shared" si="16"/>
        <v>4.69063596037293</v>
      </c>
      <c r="AF36" s="130">
        <f>+IF($O36&gt;F$8,"FIN",(F$16-SUM(AG$25:AG35))*VLOOKUP($O36,$A:$N,6,0)/VLOOKUP(F$13,$K$1:$M$4,2,0))</f>
        <v>2.0006249999999999</v>
      </c>
      <c r="AG36" s="127">
        <f t="shared" si="17"/>
        <v>0</v>
      </c>
      <c r="AH36" s="127">
        <f t="shared" si="18"/>
        <v>2.0006249999999999</v>
      </c>
      <c r="AI36" s="128">
        <f t="shared" si="19"/>
        <v>1.2017933749402694</v>
      </c>
      <c r="AJ36" s="130">
        <f>+IF($O36&gt;G$8,"FIN",(G$16-SUM(AK$25:AK35))*VLOOKUP($O36,$A:$N,7,0)/VLOOKUP(G$13,$K$1:$M$4,2,0))</f>
        <v>1.879375</v>
      </c>
      <c r="AK36" s="127">
        <f t="shared" si="20"/>
        <v>0</v>
      </c>
      <c r="AL36" s="127">
        <f t="shared" si="21"/>
        <v>1.879375</v>
      </c>
      <c r="AM36" s="128">
        <f t="shared" si="22"/>
        <v>1.1289574128226774</v>
      </c>
      <c r="AN36" s="130">
        <f>+IF($O36&gt;H$8,"FIN",(H$16-SUM(AO$25:AO35))*VLOOKUP($O36,$A:$N,8,0)/VLOOKUP(H$13,$K$1:$M$4,2,0))</f>
        <v>2.5</v>
      </c>
      <c r="AO36" s="127">
        <f t="shared" si="23"/>
        <v>0</v>
      </c>
      <c r="AP36" s="127">
        <f t="shared" si="24"/>
        <v>2.5</v>
      </c>
      <c r="AQ36" s="128">
        <f t="shared" si="25"/>
        <v>1.5017724147957132</v>
      </c>
      <c r="AR36" s="130">
        <f>+IF($O36&gt;I$8,"FIN",(I$16-SUM(AS$25:AS35))*VLOOKUP($O36,$A:$N,9,0)/VLOOKUP(I$13,$K$1:$M$4,2,0))</f>
        <v>2.125</v>
      </c>
      <c r="AS36" s="127">
        <f t="shared" si="26"/>
        <v>0</v>
      </c>
      <c r="AT36" s="127">
        <f t="shared" si="27"/>
        <v>2.125</v>
      </c>
      <c r="AU36" s="128">
        <f t="shared" si="28"/>
        <v>1.2765065525763561</v>
      </c>
      <c r="AV36" s="130">
        <f>+IF($O36&gt;J$8,"FIN",(J$16-SUM(AW$25:AW35))*VLOOKUP($O36,$A:$N,10,0)/VLOOKUP(J$13,$K$1:$M$4,2,0))</f>
        <v>1.7500000000000002</v>
      </c>
      <c r="AW36" s="127">
        <f t="shared" si="29"/>
        <v>0</v>
      </c>
      <c r="AX36" s="127">
        <f t="shared" si="30"/>
        <v>1.7500000000000002</v>
      </c>
      <c r="AY36" s="128">
        <f t="shared" si="31"/>
        <v>1.0512406903569993</v>
      </c>
      <c r="AZ36" s="130">
        <f>+IF($O36&gt;K$8,"FIN",(K$16-SUM(BA$25:BA35))*VLOOKUP($O36,$A:$N,11,0)/VLOOKUP(K$13,$K$1:$M$4,2,0))</f>
        <v>1.5</v>
      </c>
      <c r="BA36" s="127">
        <f t="shared" si="32"/>
        <v>0</v>
      </c>
      <c r="BB36" s="127">
        <f t="shared" si="33"/>
        <v>1.5</v>
      </c>
      <c r="BC36" s="128">
        <f t="shared" si="34"/>
        <v>0.90106344887742784</v>
      </c>
      <c r="BD36" s="130">
        <f>+IF($O36&gt;L$8,"FIN",(L$16-SUM(BE$25:BE35))*VLOOKUP($O36,$A:$N,12,0)/VLOOKUP(L$13,$K$1:$M$4,2,0))</f>
        <v>1.9096875000000002</v>
      </c>
      <c r="BE36" s="127">
        <f t="shared" si="35"/>
        <v>2.2045454545454546</v>
      </c>
      <c r="BF36" s="127">
        <f t="shared" si="36"/>
        <v>4.1142329545454546</v>
      </c>
      <c r="BG36" s="128">
        <f t="shared" si="37"/>
        <v>2.4714566236719313</v>
      </c>
      <c r="BH36" s="130">
        <f>+IF($O36&gt;M$8,"FIN",(M$16-SUM(BI$25:BI35))*VLOOKUP($O36,$A:$N,13,0)/VLOOKUP(M$13,$K$1:$M$4,2,0))</f>
        <v>1.8518181818181818</v>
      </c>
      <c r="BI36" s="127">
        <f t="shared" si="38"/>
        <v>2.2045454545454546</v>
      </c>
      <c r="BJ36" s="127">
        <f t="shared" si="39"/>
        <v>4.0563636363636366</v>
      </c>
      <c r="BK36" s="128">
        <f t="shared" si="40"/>
        <v>2.4366940053885355</v>
      </c>
      <c r="BL36" s="124"/>
      <c r="BM36" s="130">
        <f>+IF($O36&gt;B$8,"FIN",(B$19-SUM(BN$25:BN35))*VLOOKUP($O36,$A:$N,2,0)/VLOOKUP(B$13,$K$1:$M$4,2,0))</f>
        <v>8.3804303611575985</v>
      </c>
      <c r="BN36" s="131">
        <f t="shared" si="55"/>
        <v>209.51075902893996</v>
      </c>
      <c r="BO36" s="127">
        <f t="shared" si="73"/>
        <v>217.89118939009757</v>
      </c>
      <c r="BP36" s="130">
        <f>+IF($O36&gt;C$8,"FIN",(C$19-SUM(BQ$25:BQ35))*VLOOKUP($O36,$A:$N,3,0)/VLOOKUP(C$13,$K$1:$M$4,2,0))</f>
        <v>1.1488022355243981</v>
      </c>
      <c r="BQ36" s="131">
        <f t="shared" si="56"/>
        <v>57.440111776219908</v>
      </c>
      <c r="BR36" s="219">
        <f t="shared" si="74"/>
        <v>58.588914011744308</v>
      </c>
      <c r="BS36" s="130">
        <f>+IF($O36&gt;D$8,"FIN",(D$19-SUM(BT$25:BT35))*VLOOKUP($O36,$A:$N,4,0)/VLOOKUP(D$13,$K$1:$M$4,2,0))</f>
        <v>41.4</v>
      </c>
      <c r="BT36" s="127">
        <f t="shared" si="77"/>
        <v>1104</v>
      </c>
      <c r="BU36" s="127">
        <f t="shared" si="43"/>
        <v>1145.4000000000001</v>
      </c>
      <c r="BV36" s="130">
        <f>+IF($O36&gt;E$8,"FIN",(E$19-SUM(BW$25:BW35))*VLOOKUP($O36,$A:$N,5,0)/VLOOKUP(E$13,$K$1:$M$4,2,0))</f>
        <v>1.55</v>
      </c>
      <c r="BW36" s="131">
        <f t="shared" si="78"/>
        <v>248</v>
      </c>
      <c r="BX36" s="128">
        <f t="shared" si="44"/>
        <v>249.55</v>
      </c>
      <c r="BY36" s="130">
        <f>+IF($O36&gt;F$8,"FIN",(F$19-SUM(BZ$25:BZ35))*VLOOKUP($O36,$A:$N,6,0)/VLOOKUP(F$13,$K$1:$M$4,2,0))</f>
        <v>414.34960132500004</v>
      </c>
      <c r="BZ36" s="131">
        <f t="shared" si="61"/>
        <v>0</v>
      </c>
      <c r="CA36" s="128">
        <f t="shared" si="45"/>
        <v>414.34960132500004</v>
      </c>
      <c r="CB36" s="130">
        <f>+IF($O36&gt;G$8,"FIN",(G$19-SUM(CC$25:CC35))*VLOOKUP($O36,$A:$N,7,0)/VLOOKUP(G$13,$K$1:$M$4,2,0))</f>
        <v>45.570068615833065</v>
      </c>
      <c r="CC36" s="131">
        <f t="shared" si="62"/>
        <v>0</v>
      </c>
      <c r="CD36" s="128">
        <f t="shared" si="46"/>
        <v>45.570068615833065</v>
      </c>
      <c r="CE36" s="130">
        <f>+IF($O36&gt;H$8,"FIN",(H$19-SUM(CF$25:CF35))*VLOOKUP($O36,$A:$N,8,0)/VLOOKUP(H$13,$K$1:$M$4,2,0))</f>
        <v>127.31153210000001</v>
      </c>
      <c r="CF36" s="127">
        <f t="shared" si="63"/>
        <v>0</v>
      </c>
      <c r="CG36" s="128">
        <f t="shared" si="47"/>
        <v>127.31153210000001</v>
      </c>
      <c r="CH36" s="130">
        <f>+IF($O36&gt;I$8,"FIN",(I$19-SUM(CI$25:CI35))*VLOOKUP($O36,$A:$N,9,0)/VLOOKUP(I$13,$K$1:$M$4,2,0))</f>
        <v>122.59241600875002</v>
      </c>
      <c r="CI36" s="131">
        <f t="shared" si="64"/>
        <v>0</v>
      </c>
      <c r="CJ36" s="128">
        <f t="shared" si="48"/>
        <v>122.59241600875002</v>
      </c>
      <c r="CK36" s="130">
        <f>+IF($O36&gt;J$8,"FIN",(J$19-SUM(CL$25:CL35))*VLOOKUP($O36,$A:$N,10,0)/VLOOKUP(J$13,$K$1:$M$4,2,0))</f>
        <v>88.087984617500013</v>
      </c>
      <c r="CL36" s="131">
        <f t="shared" si="65"/>
        <v>0</v>
      </c>
      <c r="CM36" s="128">
        <f t="shared" si="49"/>
        <v>88.087984617500013</v>
      </c>
      <c r="CN36" s="130">
        <f>+IF($O36&gt;K$8,"FIN",(K$19-SUM(CO$25:CO35))*VLOOKUP($O36,$A:$N,11,0)/VLOOKUP(K$13,$K$1:$M$4,2,0))</f>
        <v>97.098346469999996</v>
      </c>
      <c r="CO36" s="131">
        <f t="shared" si="66"/>
        <v>0</v>
      </c>
      <c r="CP36" s="128">
        <f t="shared" si="50"/>
        <v>97.098346469999996</v>
      </c>
      <c r="CQ36" s="130">
        <f>+IF($O36&gt;L$8,"FIN",(L$19-SUM(CR$25:CR35))*VLOOKUP($O36,$A:$N,12,0)/VLOOKUP(L$13,$K$1:$M$4,2,0))</f>
        <v>0</v>
      </c>
      <c r="CR36" s="127">
        <f t="shared" si="67"/>
        <v>0</v>
      </c>
      <c r="CS36" s="128">
        <f t="shared" si="51"/>
        <v>0</v>
      </c>
      <c r="CT36" s="130">
        <f>+IF($O36&gt;M$8,"FIN",(M$19-SUM(CU$25:CU35))*VLOOKUP($O36,$A:$N,13,0)/VLOOKUP(M$13,$K$1:$M$4,2,0))</f>
        <v>0</v>
      </c>
      <c r="CU36" s="127">
        <f t="shared" si="68"/>
        <v>0</v>
      </c>
      <c r="CV36" s="128">
        <f t="shared" si="52"/>
        <v>0</v>
      </c>
      <c r="CX36" s="130">
        <f t="shared" si="69"/>
        <v>994.66495159089459</v>
      </c>
      <c r="CY36" s="127">
        <f t="shared" si="70"/>
        <v>1672.7252854034195</v>
      </c>
      <c r="CZ36" s="128">
        <f t="shared" si="71"/>
        <v>2667.3902369943144</v>
      </c>
      <c r="DA36" s="224">
        <f t="shared" si="72"/>
        <v>5.3472222222222223</v>
      </c>
      <c r="DB36" s="225">
        <f t="shared" si="3"/>
        <v>8944.4338177821737</v>
      </c>
    </row>
    <row r="37" spans="1:106" s="16" customFormat="1" x14ac:dyDescent="0.25">
      <c r="A37" s="125">
        <f t="shared" si="53"/>
        <v>46212</v>
      </c>
      <c r="B37" s="164">
        <v>0.01</v>
      </c>
      <c r="C37" s="165">
        <v>5.0000000000000001E-3</v>
      </c>
      <c r="D37" s="136">
        <v>7.4999999999999997E-3</v>
      </c>
      <c r="E37" s="136">
        <v>1.25E-3</v>
      </c>
      <c r="F37" s="136">
        <v>4.1250000000000002E-2</v>
      </c>
      <c r="G37" s="136">
        <v>3.875E-2</v>
      </c>
      <c r="H37" s="136">
        <v>0.05</v>
      </c>
      <c r="I37" s="136">
        <v>4.2500000000000003E-2</v>
      </c>
      <c r="J37" s="136">
        <v>3.5000000000000003E-2</v>
      </c>
      <c r="K37" s="136">
        <v>0.03</v>
      </c>
      <c r="L37" s="136">
        <v>4.1250000000000002E-2</v>
      </c>
      <c r="M37" s="137">
        <v>0.04</v>
      </c>
      <c r="N37" s="124">
        <f t="shared" si="4"/>
        <v>2026</v>
      </c>
      <c r="O37" s="126">
        <f t="shared" si="54"/>
        <v>46212</v>
      </c>
      <c r="P37" s="130">
        <f>+IF($O37&gt;B$8,"FIN",(B$16-SUM(Q$25:Q36))*VLOOKUP($O37,$A:$N,2,0)/VLOOKUP(B$13,$K$1:$M$4,2,0))</f>
        <v>0.35000000000000003</v>
      </c>
      <c r="Q37" s="127">
        <f t="shared" si="5"/>
        <v>10</v>
      </c>
      <c r="R37" s="127">
        <f t="shared" si="6"/>
        <v>10.35</v>
      </c>
      <c r="S37" s="128">
        <f t="shared" si="7"/>
        <v>5.9279989943845264</v>
      </c>
      <c r="T37" s="130">
        <f>+IF($O37&gt;C$8,"FIN",(C$16-SUM(U$25:U36))*VLOOKUP($O37,$A:$N,3,0)/VLOOKUP(C$13,$K$1:$M$4,2,0))</f>
        <v>0.17500000000000002</v>
      </c>
      <c r="U37" s="127">
        <f t="shared" si="8"/>
        <v>10</v>
      </c>
      <c r="V37" s="127">
        <f t="shared" si="9"/>
        <v>10.175000000000001</v>
      </c>
      <c r="W37" s="128">
        <f t="shared" si="10"/>
        <v>5.8277671273297162</v>
      </c>
      <c r="X37" s="130">
        <f>+IF($O37&gt;D$8,"FIN",(D$16-SUM(Y$25:Y36))*VLOOKUP($O37,$A:$N,4,0)/VLOOKUP(D$13,$K$1:$M$4,2,0))</f>
        <v>0.26190000000000002</v>
      </c>
      <c r="Y37" s="127">
        <f t="shared" si="75"/>
        <v>7.76</v>
      </c>
      <c r="Z37" s="127">
        <f t="shared" si="12"/>
        <v>8.0219000000000005</v>
      </c>
      <c r="AA37" s="128">
        <f t="shared" si="13"/>
        <v>4.5945715104399261</v>
      </c>
      <c r="AB37" s="130">
        <f>+IF($O37&gt;E$8,"FIN",(E$16-SUM(AC$25:AC36))*VLOOKUP($O37,$A:$N,5,0)/VLOOKUP(E$13,$K$1:$M$4,2,0))</f>
        <v>4.3650000000000001E-2</v>
      </c>
      <c r="AC37" s="127">
        <f t="shared" si="76"/>
        <v>7.76</v>
      </c>
      <c r="AD37" s="127">
        <f t="shared" si="15"/>
        <v>7.8036500000000002</v>
      </c>
      <c r="AE37" s="128">
        <f t="shared" si="16"/>
        <v>4.4695680533844264</v>
      </c>
      <c r="AF37" s="130">
        <f>+IF($O37&gt;F$8,"FIN",(F$16-SUM(AG$25:AG36))*VLOOKUP($O37,$A:$N,6,0)/VLOOKUP(F$13,$K$1:$M$4,2,0))</f>
        <v>2.0006249999999999</v>
      </c>
      <c r="AG37" s="127">
        <f t="shared" si="17"/>
        <v>0</v>
      </c>
      <c r="AH37" s="127">
        <f t="shared" si="18"/>
        <v>2.0006249999999999</v>
      </c>
      <c r="AI37" s="128">
        <f t="shared" si="19"/>
        <v>1.1458650230087482</v>
      </c>
      <c r="AJ37" s="130">
        <f>+IF($O37&gt;G$8,"FIN",(G$16-SUM(AK$25:AK36))*VLOOKUP($O37,$A:$N,7,0)/VLOOKUP(G$13,$K$1:$M$4,2,0))</f>
        <v>1.879375</v>
      </c>
      <c r="AK37" s="127">
        <f t="shared" si="20"/>
        <v>0</v>
      </c>
      <c r="AL37" s="127">
        <f t="shared" si="21"/>
        <v>1.879375</v>
      </c>
      <c r="AM37" s="128">
        <f t="shared" si="22"/>
        <v>1.0764186579779149</v>
      </c>
      <c r="AN37" s="130">
        <f>+IF($O37&gt;H$8,"FIN",(H$16-SUM(AO$25:AO36))*VLOOKUP($O37,$A:$N,8,0)/VLOOKUP(H$13,$K$1:$M$4,2,0))</f>
        <v>2.5</v>
      </c>
      <c r="AO37" s="127">
        <f t="shared" si="23"/>
        <v>0</v>
      </c>
      <c r="AP37" s="127">
        <f t="shared" si="24"/>
        <v>2.5</v>
      </c>
      <c r="AQ37" s="128">
        <f t="shared" si="25"/>
        <v>1.4318838150687263</v>
      </c>
      <c r="AR37" s="130">
        <f>+IF($O37&gt;I$8,"FIN",(I$16-SUM(AS$25:AS36))*VLOOKUP($O37,$A:$N,9,0)/VLOOKUP(I$13,$K$1:$M$4,2,0))</f>
        <v>2.125</v>
      </c>
      <c r="AS37" s="127">
        <f t="shared" si="26"/>
        <v>0</v>
      </c>
      <c r="AT37" s="127">
        <f t="shared" si="27"/>
        <v>2.125</v>
      </c>
      <c r="AU37" s="128">
        <f t="shared" si="28"/>
        <v>1.2171012428084174</v>
      </c>
      <c r="AV37" s="130">
        <f>+IF($O37&gt;J$8,"FIN",(J$16-SUM(AW$25:AW36))*VLOOKUP($O37,$A:$N,10,0)/VLOOKUP(J$13,$K$1:$M$4,2,0))</f>
        <v>1.7500000000000002</v>
      </c>
      <c r="AW37" s="127">
        <f t="shared" si="29"/>
        <v>0</v>
      </c>
      <c r="AX37" s="127">
        <f t="shared" si="30"/>
        <v>1.7500000000000002</v>
      </c>
      <c r="AY37" s="128">
        <f t="shared" si="31"/>
        <v>1.0023186705481084</v>
      </c>
      <c r="AZ37" s="130">
        <f>+IF($O37&gt;K$8,"FIN",(K$16-SUM(BA$25:BA36))*VLOOKUP($O37,$A:$N,11,0)/VLOOKUP(K$13,$K$1:$M$4,2,0))</f>
        <v>1.5</v>
      </c>
      <c r="BA37" s="127">
        <f t="shared" si="32"/>
        <v>0</v>
      </c>
      <c r="BB37" s="127">
        <f t="shared" si="33"/>
        <v>1.5</v>
      </c>
      <c r="BC37" s="128">
        <f t="shared" si="34"/>
        <v>0.85913028904123578</v>
      </c>
      <c r="BD37" s="130">
        <f>+IF($O37&gt;L$8,"FIN",(L$16-SUM(BE$25:BE36))*VLOOKUP($O37,$A:$N,12,0)/VLOOKUP(L$13,$K$1:$M$4,2,0))</f>
        <v>1.8642187500000003</v>
      </c>
      <c r="BE37" s="127">
        <f t="shared" si="35"/>
        <v>2.2045454545454546</v>
      </c>
      <c r="BF37" s="127">
        <f t="shared" si="36"/>
        <v>4.0687642045454551</v>
      </c>
      <c r="BG37" s="128">
        <f t="shared" si="37"/>
        <v>2.3303990447278471</v>
      </c>
      <c r="BH37" s="130">
        <f>+IF($O37&gt;M$8,"FIN",(M$16-SUM(BI$25:BI36))*VLOOKUP($O37,$A:$N,13,0)/VLOOKUP(M$13,$K$1:$M$4,2,0))</f>
        <v>1.8077272727272728</v>
      </c>
      <c r="BI37" s="127">
        <f t="shared" si="38"/>
        <v>2.2045454545454546</v>
      </c>
      <c r="BJ37" s="127">
        <f t="shared" si="39"/>
        <v>4.0122727272727277</v>
      </c>
      <c r="BK37" s="128">
        <f t="shared" si="40"/>
        <v>2.2980433519293904</v>
      </c>
      <c r="BL37" s="124"/>
      <c r="BM37" s="130">
        <f>+IF($O37&gt;B$8,"FIN",(B$19-SUM(BN$25:BN36))*VLOOKUP($O37,$A:$N,2,0)/VLOOKUP(B$13,$K$1:$M$4,2,0))</f>
        <v>7.3328765660128976</v>
      </c>
      <c r="BN37" s="131">
        <f t="shared" si="55"/>
        <v>209.51075902893996</v>
      </c>
      <c r="BO37" s="127">
        <f t="shared" si="73"/>
        <v>216.84363559495284</v>
      </c>
      <c r="BP37" s="130">
        <f>+IF($O37&gt;C$8,"FIN",(C$19-SUM(BQ$25:BQ36))*VLOOKUP($O37,$A:$N,3,0)/VLOOKUP(C$13,$K$1:$M$4,2,0))</f>
        <v>1.0052019560838483</v>
      </c>
      <c r="BQ37" s="131">
        <f t="shared" si="56"/>
        <v>57.440111776219908</v>
      </c>
      <c r="BR37" s="219">
        <f t="shared" si="74"/>
        <v>58.445313732303759</v>
      </c>
      <c r="BS37" s="130">
        <f>+IF($O37&gt;D$8,"FIN",(D$19-SUM(BT$25:BT36))*VLOOKUP($O37,$A:$N,4,0)/VLOOKUP(D$13,$K$1:$M$4,2,0))</f>
        <v>37.26</v>
      </c>
      <c r="BT37" s="127">
        <f t="shared" si="77"/>
        <v>1104</v>
      </c>
      <c r="BU37" s="127">
        <f t="shared" si="43"/>
        <v>1141.26</v>
      </c>
      <c r="BV37" s="130">
        <f>+IF($O37&gt;E$8,"FIN",(E$19-SUM(BW$25:BW36))*VLOOKUP($O37,$A:$N,5,0)/VLOOKUP(E$13,$K$1:$M$4,2,0))</f>
        <v>1.395</v>
      </c>
      <c r="BW37" s="131">
        <f t="shared" si="78"/>
        <v>248</v>
      </c>
      <c r="BX37" s="128">
        <f t="shared" si="44"/>
        <v>249.39500000000001</v>
      </c>
      <c r="BY37" s="130">
        <f>+IF($O37&gt;F$8,"FIN",(F$19-SUM(BZ$25:BZ36))*VLOOKUP($O37,$A:$N,6,0)/VLOOKUP(F$13,$K$1:$M$4,2,0))</f>
        <v>414.34960132500004</v>
      </c>
      <c r="BZ37" s="131">
        <f t="shared" si="61"/>
        <v>0</v>
      </c>
      <c r="CA37" s="128">
        <f t="shared" si="45"/>
        <v>414.34960132500004</v>
      </c>
      <c r="CB37" s="130">
        <f>+IF($O37&gt;G$8,"FIN",(G$19-SUM(CC$25:CC36))*VLOOKUP($O37,$A:$N,7,0)/VLOOKUP(G$13,$K$1:$M$4,2,0))</f>
        <v>45.570068615833065</v>
      </c>
      <c r="CC37" s="131">
        <f t="shared" si="62"/>
        <v>0</v>
      </c>
      <c r="CD37" s="128">
        <f t="shared" si="46"/>
        <v>45.570068615833065</v>
      </c>
      <c r="CE37" s="130">
        <f>+IF($O37&gt;H$8,"FIN",(H$19-SUM(CF$25:CF36))*VLOOKUP($O37,$A:$N,8,0)/VLOOKUP(H$13,$K$1:$M$4,2,0))</f>
        <v>127.31153210000001</v>
      </c>
      <c r="CF37" s="127">
        <f t="shared" si="63"/>
        <v>0</v>
      </c>
      <c r="CG37" s="128">
        <f t="shared" si="47"/>
        <v>127.31153210000001</v>
      </c>
      <c r="CH37" s="130">
        <f>+IF($O37&gt;I$8,"FIN",(I$19-SUM(CI$25:CI36))*VLOOKUP($O37,$A:$N,9,0)/VLOOKUP(I$13,$K$1:$M$4,2,0))</f>
        <v>122.59241600875002</v>
      </c>
      <c r="CI37" s="131">
        <f t="shared" si="64"/>
        <v>0</v>
      </c>
      <c r="CJ37" s="128">
        <f t="shared" si="48"/>
        <v>122.59241600875002</v>
      </c>
      <c r="CK37" s="130">
        <f>+IF($O37&gt;J$8,"FIN",(J$19-SUM(CL$25:CL36))*VLOOKUP($O37,$A:$N,10,0)/VLOOKUP(J$13,$K$1:$M$4,2,0))</f>
        <v>88.087984617500013</v>
      </c>
      <c r="CL37" s="131">
        <f t="shared" si="65"/>
        <v>0</v>
      </c>
      <c r="CM37" s="128">
        <f t="shared" si="49"/>
        <v>88.087984617500013</v>
      </c>
      <c r="CN37" s="130">
        <f>+IF($O37&gt;K$8,"FIN",(K$19-SUM(CO$25:CO36))*VLOOKUP($O37,$A:$N,11,0)/VLOOKUP(K$13,$K$1:$M$4,2,0))</f>
        <v>97.098346469999996</v>
      </c>
      <c r="CO37" s="131">
        <f t="shared" si="66"/>
        <v>0</v>
      </c>
      <c r="CP37" s="128">
        <f t="shared" si="50"/>
        <v>97.098346469999996</v>
      </c>
      <c r="CQ37" s="130">
        <f>+IF($O37&gt;L$8,"FIN",(L$19-SUM(CR$25:CR36))*VLOOKUP($O37,$A:$N,12,0)/VLOOKUP(L$13,$K$1:$M$4,2,0))</f>
        <v>0</v>
      </c>
      <c r="CR37" s="127">
        <f t="shared" si="67"/>
        <v>0</v>
      </c>
      <c r="CS37" s="128">
        <f t="shared" si="51"/>
        <v>0</v>
      </c>
      <c r="CT37" s="130">
        <f>+IF($O37&gt;M$8,"FIN",(M$19-SUM(CU$25:CU36))*VLOOKUP($O37,$A:$N,13,0)/VLOOKUP(M$13,$K$1:$M$4,2,0))</f>
        <v>0</v>
      </c>
      <c r="CU37" s="127">
        <f t="shared" si="68"/>
        <v>0</v>
      </c>
      <c r="CV37" s="128">
        <f t="shared" si="52"/>
        <v>0</v>
      </c>
      <c r="CX37" s="130">
        <f t="shared" si="69"/>
        <v>989.12622729188001</v>
      </c>
      <c r="CY37" s="127">
        <f t="shared" si="70"/>
        <v>1672.7252854034195</v>
      </c>
      <c r="CZ37" s="128">
        <f t="shared" si="71"/>
        <v>2661.8515126952998</v>
      </c>
      <c r="DA37" s="224">
        <f t="shared" si="72"/>
        <v>5.8472222222222223</v>
      </c>
      <c r="DB37" s="225">
        <f t="shared" si="3"/>
        <v>9780.7964604838835</v>
      </c>
    </row>
    <row r="38" spans="1:106" s="16" customFormat="1" x14ac:dyDescent="0.25">
      <c r="A38" s="125">
        <f t="shared" si="53"/>
        <v>46396</v>
      </c>
      <c r="B38" s="164">
        <v>0.01</v>
      </c>
      <c r="C38" s="165">
        <v>5.0000000000000001E-3</v>
      </c>
      <c r="D38" s="136">
        <v>7.4999999999999997E-3</v>
      </c>
      <c r="E38" s="136">
        <v>1.25E-3</v>
      </c>
      <c r="F38" s="136">
        <v>4.1250000000000002E-2</v>
      </c>
      <c r="G38" s="136">
        <v>3.875E-2</v>
      </c>
      <c r="H38" s="136">
        <v>0.05</v>
      </c>
      <c r="I38" s="136">
        <v>4.2500000000000003E-2</v>
      </c>
      <c r="J38" s="136">
        <v>3.5000000000000003E-2</v>
      </c>
      <c r="K38" s="136">
        <v>0.03</v>
      </c>
      <c r="L38" s="136">
        <v>4.1250000000000002E-2</v>
      </c>
      <c r="M38" s="137">
        <v>4.1250000000000002E-2</v>
      </c>
      <c r="N38" s="124">
        <f t="shared" si="4"/>
        <v>2027</v>
      </c>
      <c r="O38" s="126">
        <f t="shared" si="54"/>
        <v>46396</v>
      </c>
      <c r="P38" s="130">
        <f>+IF($O38&gt;B$8,"FIN",(B$16-SUM(Q$25:Q37))*VLOOKUP($O38,$A:$N,2,0)/VLOOKUP(B$13,$K$1:$M$4,2,0))</f>
        <v>0.3</v>
      </c>
      <c r="Q38" s="127">
        <f t="shared" si="5"/>
        <v>10</v>
      </c>
      <c r="R38" s="127">
        <f t="shared" si="6"/>
        <v>10.3</v>
      </c>
      <c r="S38" s="128">
        <f t="shared" si="7"/>
        <v>5.6248203172348532</v>
      </c>
      <c r="T38" s="130">
        <f>+IF($O38&gt;C$8,"FIN",(C$16-SUM(U$25:U37))*VLOOKUP($O38,$A:$N,3,0)/VLOOKUP(C$13,$K$1:$M$4,2,0))</f>
        <v>0.15</v>
      </c>
      <c r="U38" s="127">
        <f t="shared" si="8"/>
        <v>10</v>
      </c>
      <c r="V38" s="127">
        <f t="shared" si="9"/>
        <v>10.15</v>
      </c>
      <c r="W38" s="128">
        <f t="shared" si="10"/>
        <v>5.542905458245996</v>
      </c>
      <c r="X38" s="130">
        <f>+IF($O38&gt;D$8,"FIN",(D$16-SUM(Y$25:Y37))*VLOOKUP($O38,$A:$N,4,0)/VLOOKUP(D$13,$K$1:$M$4,2,0))</f>
        <v>0.23280000000000001</v>
      </c>
      <c r="Y38" s="127">
        <f t="shared" si="75"/>
        <v>7.76</v>
      </c>
      <c r="Z38" s="127">
        <f t="shared" si="12"/>
        <v>7.9927999999999999</v>
      </c>
      <c r="AA38" s="128">
        <f t="shared" si="13"/>
        <v>4.3648605661742454</v>
      </c>
      <c r="AB38" s="130">
        <f>+IF($O38&gt;E$8,"FIN",(E$16-SUM(AC$25:AC37))*VLOOKUP($O38,$A:$N,5,0)/VLOOKUP(E$13,$K$1:$M$4,2,0))</f>
        <v>3.8800000000000001E-2</v>
      </c>
      <c r="AC38" s="127">
        <f t="shared" si="76"/>
        <v>7.76</v>
      </c>
      <c r="AD38" s="127">
        <f t="shared" si="15"/>
        <v>7.7988</v>
      </c>
      <c r="AE38" s="128">
        <f t="shared" si="16"/>
        <v>4.2589173485486569</v>
      </c>
      <c r="AF38" s="130">
        <f>+IF($O38&gt;F$8,"FIN",(F$16-SUM(AG$25:AG37))*VLOOKUP($O38,$A:$N,6,0)/VLOOKUP(F$13,$K$1:$M$4,2,0))</f>
        <v>2.0006249999999999</v>
      </c>
      <c r="AG38" s="127">
        <f t="shared" si="17"/>
        <v>0</v>
      </c>
      <c r="AH38" s="127">
        <f t="shared" si="18"/>
        <v>2.0006249999999999</v>
      </c>
      <c r="AI38" s="128">
        <f t="shared" si="19"/>
        <v>1.0925394317638812</v>
      </c>
      <c r="AJ38" s="130">
        <f>+IF($O38&gt;G$8,"FIN",(G$16-SUM(AK$25:AK37))*VLOOKUP($O38,$A:$N,7,0)/VLOOKUP(G$13,$K$1:$M$4,2,0))</f>
        <v>1.879375</v>
      </c>
      <c r="AK38" s="127">
        <f t="shared" si="20"/>
        <v>0</v>
      </c>
      <c r="AL38" s="127">
        <f t="shared" si="21"/>
        <v>1.879375</v>
      </c>
      <c r="AM38" s="128">
        <f t="shared" si="22"/>
        <v>1.0263249207478884</v>
      </c>
      <c r="AN38" s="130">
        <f>+IF($O38&gt;H$8,"FIN",(H$16-SUM(AO$25:AO37))*VLOOKUP($O38,$A:$N,8,0)/VLOOKUP(H$13,$K$1:$M$4,2,0))</f>
        <v>2.5</v>
      </c>
      <c r="AO38" s="127">
        <f t="shared" si="23"/>
        <v>0</v>
      </c>
      <c r="AP38" s="127">
        <f t="shared" si="24"/>
        <v>2.5</v>
      </c>
      <c r="AQ38" s="128">
        <f t="shared" si="25"/>
        <v>1.3652476498142847</v>
      </c>
      <c r="AR38" s="130">
        <f>+IF($O38&gt;I$8,"FIN",(I$16-SUM(AS$25:AS37))*VLOOKUP($O38,$A:$N,9,0)/VLOOKUP(I$13,$K$1:$M$4,2,0))</f>
        <v>2.125</v>
      </c>
      <c r="AS38" s="127">
        <f t="shared" si="26"/>
        <v>0</v>
      </c>
      <c r="AT38" s="127">
        <f t="shared" si="27"/>
        <v>2.125</v>
      </c>
      <c r="AU38" s="128">
        <f t="shared" si="28"/>
        <v>1.1604605023421419</v>
      </c>
      <c r="AV38" s="130">
        <f>+IF($O38&gt;J$8,"FIN",(J$16-SUM(AW$25:AW37))*VLOOKUP($O38,$A:$N,10,0)/VLOOKUP(J$13,$K$1:$M$4,2,0))</f>
        <v>1.7500000000000002</v>
      </c>
      <c r="AW38" s="127">
        <f t="shared" si="29"/>
        <v>0</v>
      </c>
      <c r="AX38" s="127">
        <f t="shared" si="30"/>
        <v>1.7500000000000002</v>
      </c>
      <c r="AY38" s="128">
        <f t="shared" si="31"/>
        <v>0.95567335486999938</v>
      </c>
      <c r="AZ38" s="130">
        <f>+IF($O38&gt;K$8,"FIN",(K$16-SUM(BA$25:BA37))*VLOOKUP($O38,$A:$N,11,0)/VLOOKUP(K$13,$K$1:$M$4,2,0))</f>
        <v>1.5</v>
      </c>
      <c r="BA38" s="127">
        <f t="shared" si="32"/>
        <v>0</v>
      </c>
      <c r="BB38" s="127">
        <f t="shared" si="33"/>
        <v>1.5</v>
      </c>
      <c r="BC38" s="128">
        <f t="shared" si="34"/>
        <v>0.81914858988857076</v>
      </c>
      <c r="BD38" s="130">
        <f>+IF($O38&gt;L$8,"FIN",(L$16-SUM(BE$25:BE37))*VLOOKUP($O38,$A:$N,12,0)/VLOOKUP(L$13,$K$1:$M$4,2,0))</f>
        <v>1.8187500000000001</v>
      </c>
      <c r="BE38" s="127">
        <f t="shared" si="35"/>
        <v>2.2045454545454546</v>
      </c>
      <c r="BF38" s="127">
        <f t="shared" si="36"/>
        <v>4.0232954545454547</v>
      </c>
      <c r="BG38" s="128">
        <f t="shared" si="37"/>
        <v>2.1971178655306702</v>
      </c>
      <c r="BH38" s="130">
        <f>+IF($O38&gt;M$8,"FIN",(M$16-SUM(BI$25:BI37))*VLOOKUP($O38,$A:$N,13,0)/VLOOKUP(M$13,$K$1:$M$4,2,0))</f>
        <v>1.8187500000000001</v>
      </c>
      <c r="BI38" s="127">
        <f t="shared" si="38"/>
        <v>2.2045454545454546</v>
      </c>
      <c r="BJ38" s="127">
        <f t="shared" si="39"/>
        <v>4.0232954545454547</v>
      </c>
      <c r="BK38" s="128">
        <f t="shared" si="40"/>
        <v>2.1971178655306702</v>
      </c>
      <c r="BL38" s="124"/>
      <c r="BM38" s="130">
        <f>+IF($O38&gt;B$8,"FIN",(B$19-SUM(BN$25:BN37))*VLOOKUP($O38,$A:$N,2,0)/VLOOKUP(B$13,$K$1:$M$4,2,0))</f>
        <v>6.2853227708681985</v>
      </c>
      <c r="BN38" s="131">
        <f t="shared" si="55"/>
        <v>209.51075902893996</v>
      </c>
      <c r="BO38" s="127">
        <f t="shared" si="73"/>
        <v>215.79608179980815</v>
      </c>
      <c r="BP38" s="130">
        <f>+IF($O38&gt;C$8,"FIN",(C$19-SUM(BQ$25:BQ37))*VLOOKUP($O38,$A:$N,3,0)/VLOOKUP(C$13,$K$1:$M$4,2,0))</f>
        <v>0.86160167664329868</v>
      </c>
      <c r="BQ38" s="131">
        <f t="shared" si="56"/>
        <v>57.440111776219908</v>
      </c>
      <c r="BR38" s="219">
        <f t="shared" si="74"/>
        <v>58.301713452863204</v>
      </c>
      <c r="BS38" s="130">
        <f>+IF($O38&gt;D$8,"FIN",(D$19-SUM(BT$25:BT37))*VLOOKUP($O38,$A:$N,4,0)/VLOOKUP(D$13,$K$1:$M$4,2,0))</f>
        <v>33.119999999999997</v>
      </c>
      <c r="BT38" s="127">
        <f t="shared" si="77"/>
        <v>1104</v>
      </c>
      <c r="BU38" s="127">
        <f t="shared" si="43"/>
        <v>1137.1199999999999</v>
      </c>
      <c r="BV38" s="130">
        <f>+IF($O38&gt;E$8,"FIN",(E$19-SUM(BW$25:BW37))*VLOOKUP($O38,$A:$N,5,0)/VLOOKUP(E$13,$K$1:$M$4,2,0))</f>
        <v>1.24</v>
      </c>
      <c r="BW38" s="131">
        <f t="shared" si="78"/>
        <v>248</v>
      </c>
      <c r="BX38" s="128">
        <f t="shared" si="44"/>
        <v>249.24</v>
      </c>
      <c r="BY38" s="130">
        <f>+IF($O38&gt;F$8,"FIN",(F$19-SUM(BZ$25:BZ37))*VLOOKUP($O38,$A:$N,6,0)/VLOOKUP(F$13,$K$1:$M$4,2,0))</f>
        <v>414.34960132500004</v>
      </c>
      <c r="BZ38" s="131">
        <f t="shared" si="61"/>
        <v>0</v>
      </c>
      <c r="CA38" s="128">
        <f t="shared" si="45"/>
        <v>414.34960132500004</v>
      </c>
      <c r="CB38" s="130">
        <f>+IF($O38&gt;G$8,"FIN",(G$19-SUM(CC$25:CC37))*VLOOKUP($O38,$A:$N,7,0)/VLOOKUP(G$13,$K$1:$M$4,2,0))</f>
        <v>45.570068615833065</v>
      </c>
      <c r="CC38" s="131">
        <f t="shared" si="62"/>
        <v>0</v>
      </c>
      <c r="CD38" s="128">
        <f t="shared" si="46"/>
        <v>45.570068615833065</v>
      </c>
      <c r="CE38" s="130">
        <f>+IF($O38&gt;H$8,"FIN",(H$19-SUM(CF$25:CF37))*VLOOKUP($O38,$A:$N,8,0)/VLOOKUP(H$13,$K$1:$M$4,2,0))</f>
        <v>127.31153210000001</v>
      </c>
      <c r="CF38" s="127">
        <f t="shared" si="63"/>
        <v>0</v>
      </c>
      <c r="CG38" s="128">
        <f t="shared" si="47"/>
        <v>127.31153210000001</v>
      </c>
      <c r="CH38" s="130">
        <f>+IF($O38&gt;I$8,"FIN",(I$19-SUM(CI$25:CI37))*VLOOKUP($O38,$A:$N,9,0)/VLOOKUP(I$13,$K$1:$M$4,2,0))</f>
        <v>122.59241600875002</v>
      </c>
      <c r="CI38" s="131">
        <f t="shared" si="64"/>
        <v>0</v>
      </c>
      <c r="CJ38" s="128">
        <f t="shared" si="48"/>
        <v>122.59241600875002</v>
      </c>
      <c r="CK38" s="130">
        <f>+IF($O38&gt;J$8,"FIN",(J$19-SUM(CL$25:CL37))*VLOOKUP($O38,$A:$N,10,0)/VLOOKUP(J$13,$K$1:$M$4,2,0))</f>
        <v>88.087984617500013</v>
      </c>
      <c r="CL38" s="131">
        <f t="shared" si="65"/>
        <v>0</v>
      </c>
      <c r="CM38" s="128">
        <f t="shared" si="49"/>
        <v>88.087984617500013</v>
      </c>
      <c r="CN38" s="130">
        <f>+IF($O38&gt;K$8,"FIN",(K$19-SUM(CO$25:CO37))*VLOOKUP($O38,$A:$N,11,0)/VLOOKUP(K$13,$K$1:$M$4,2,0))</f>
        <v>97.098346469999996</v>
      </c>
      <c r="CO38" s="131">
        <f t="shared" si="66"/>
        <v>0</v>
      </c>
      <c r="CP38" s="128">
        <f t="shared" si="50"/>
        <v>97.098346469999996</v>
      </c>
      <c r="CQ38" s="130">
        <f>+IF($O38&gt;L$8,"FIN",(L$19-SUM(CR$25:CR37))*VLOOKUP($O38,$A:$N,12,0)/VLOOKUP(L$13,$K$1:$M$4,2,0))</f>
        <v>0</v>
      </c>
      <c r="CR38" s="127">
        <f t="shared" si="67"/>
        <v>0</v>
      </c>
      <c r="CS38" s="128">
        <f t="shared" si="51"/>
        <v>0</v>
      </c>
      <c r="CT38" s="130">
        <f>+IF($O38&gt;M$8,"FIN",(M$19-SUM(CU$25:CU37))*VLOOKUP($O38,$A:$N,13,0)/VLOOKUP(M$13,$K$1:$M$4,2,0))</f>
        <v>0</v>
      </c>
      <c r="CU38" s="127">
        <f t="shared" si="68"/>
        <v>0</v>
      </c>
      <c r="CV38" s="128">
        <f t="shared" si="52"/>
        <v>0</v>
      </c>
      <c r="CX38" s="130">
        <f t="shared" si="69"/>
        <v>983.58750299286544</v>
      </c>
      <c r="CY38" s="127">
        <f t="shared" si="70"/>
        <v>1672.7252854034195</v>
      </c>
      <c r="CZ38" s="128">
        <f t="shared" si="71"/>
        <v>2656.3127883962852</v>
      </c>
      <c r="DA38" s="224">
        <f t="shared" si="72"/>
        <v>6.3472222222222223</v>
      </c>
      <c r="DB38" s="225">
        <f t="shared" si="3"/>
        <v>10617.159103185593</v>
      </c>
    </row>
    <row r="39" spans="1:106" s="16" customFormat="1" x14ac:dyDescent="0.25">
      <c r="A39" s="125">
        <f t="shared" si="53"/>
        <v>46577</v>
      </c>
      <c r="B39" s="164">
        <v>0.01</v>
      </c>
      <c r="C39" s="165">
        <v>5.0000000000000001E-3</v>
      </c>
      <c r="D39" s="136">
        <v>7.4999999999999997E-3</v>
      </c>
      <c r="E39" s="136">
        <v>1.25E-3</v>
      </c>
      <c r="F39" s="136">
        <v>4.1250000000000002E-2</v>
      </c>
      <c r="G39" s="136">
        <v>3.875E-2</v>
      </c>
      <c r="H39" s="136">
        <v>0.05</v>
      </c>
      <c r="I39" s="136">
        <v>4.2500000000000003E-2</v>
      </c>
      <c r="J39" s="136">
        <v>3.5000000000000003E-2</v>
      </c>
      <c r="K39" s="136">
        <v>0.03</v>
      </c>
      <c r="L39" s="136">
        <v>4.1250000000000002E-2</v>
      </c>
      <c r="M39" s="137">
        <v>4.1250000000000002E-2</v>
      </c>
      <c r="N39" s="124">
        <f t="shared" si="4"/>
        <v>2027</v>
      </c>
      <c r="O39" s="126">
        <f t="shared" si="54"/>
        <v>46577</v>
      </c>
      <c r="P39" s="130">
        <f>+IF($O39&gt;B$8,"FIN",(B$16-SUM(Q$25:Q38))*VLOOKUP($O39,$A:$N,2,0)/VLOOKUP(B$13,$K$1:$M$4,2,0))</f>
        <v>0.25</v>
      </c>
      <c r="Q39" s="127">
        <f t="shared" si="5"/>
        <v>10</v>
      </c>
      <c r="R39" s="127">
        <f t="shared" si="6"/>
        <v>10.25</v>
      </c>
      <c r="S39" s="128">
        <f t="shared" si="7"/>
        <v>5.3370214925288888</v>
      </c>
      <c r="T39" s="130">
        <f>+IF($O39&gt;C$8,"FIN",(C$16-SUM(U$25:U38))*VLOOKUP($O39,$A:$N,3,0)/VLOOKUP(C$13,$K$1:$M$4,2,0))</f>
        <v>0.125</v>
      </c>
      <c r="U39" s="127">
        <f t="shared" si="8"/>
        <v>10</v>
      </c>
      <c r="V39" s="127">
        <f t="shared" si="9"/>
        <v>10.125</v>
      </c>
      <c r="W39" s="128">
        <f t="shared" si="10"/>
        <v>5.2719358645712191</v>
      </c>
      <c r="X39" s="130">
        <f>+IF($O39&gt;D$8,"FIN",(D$16-SUM(Y$25:Y38))*VLOOKUP($O39,$A:$N,4,0)/VLOOKUP(D$13,$K$1:$M$4,2,0))</f>
        <v>0.20370000000000002</v>
      </c>
      <c r="Y39" s="127">
        <f t="shared" si="75"/>
        <v>7.76</v>
      </c>
      <c r="Z39" s="127">
        <f t="shared" si="12"/>
        <v>7.9637000000000002</v>
      </c>
      <c r="AA39" s="128">
        <f t="shared" si="13"/>
        <v>4.1465793229319328</v>
      </c>
      <c r="AB39" s="130">
        <f>+IF($O39&gt;E$8,"FIN",(E$16-SUM(AC$25:AC38))*VLOOKUP($O39,$A:$N,5,0)/VLOOKUP(E$13,$K$1:$M$4,2,0))</f>
        <v>3.3950000000000008E-2</v>
      </c>
      <c r="AC39" s="127">
        <f t="shared" si="76"/>
        <v>7.76</v>
      </c>
      <c r="AD39" s="127">
        <f t="shared" si="15"/>
        <v>7.7939499999999997</v>
      </c>
      <c r="AE39" s="128">
        <f t="shared" si="16"/>
        <v>4.0581930401654178</v>
      </c>
      <c r="AF39" s="130">
        <f>+IF($O39&gt;F$8,"FIN",(F$16-SUM(AG$25:AG38))*VLOOKUP($O39,$A:$N,6,0)/VLOOKUP(F$13,$K$1:$M$4,2,0))</f>
        <v>2.0006249999999999</v>
      </c>
      <c r="AG39" s="127">
        <f t="shared" si="17"/>
        <v>0</v>
      </c>
      <c r="AH39" s="127">
        <f t="shared" si="18"/>
        <v>2.0006249999999999</v>
      </c>
      <c r="AI39" s="128">
        <f t="shared" si="19"/>
        <v>1.0416954754624983</v>
      </c>
      <c r="AJ39" s="130">
        <f>+IF($O39&gt;G$8,"FIN",(G$16-SUM(AK$25:AK38))*VLOOKUP($O39,$A:$N,7,0)/VLOOKUP(G$13,$K$1:$M$4,2,0))</f>
        <v>1.879375</v>
      </c>
      <c r="AK39" s="127">
        <f t="shared" si="20"/>
        <v>0</v>
      </c>
      <c r="AL39" s="127">
        <f t="shared" si="21"/>
        <v>1.879375</v>
      </c>
      <c r="AM39" s="128">
        <f t="shared" si="22"/>
        <v>0.97856241634355901</v>
      </c>
      <c r="AN39" s="130">
        <f>+IF($O39&gt;H$8,"FIN",(H$16-SUM(AO$25:AO38))*VLOOKUP($O39,$A:$N,8,0)/VLOOKUP(H$13,$K$1:$M$4,2,0))</f>
        <v>2.5</v>
      </c>
      <c r="AO39" s="127">
        <f t="shared" si="23"/>
        <v>4.5454545454545459</v>
      </c>
      <c r="AP39" s="127">
        <f t="shared" si="24"/>
        <v>7.0454545454545459</v>
      </c>
      <c r="AQ39" s="128">
        <f t="shared" si="25"/>
        <v>3.6684626667050013</v>
      </c>
      <c r="AR39" s="130">
        <f>+IF($O39&gt;I$8,"FIN",(I$16-SUM(AS$25:AS38))*VLOOKUP($O39,$A:$N,9,0)/VLOOKUP(I$13,$K$1:$M$4,2,0))</f>
        <v>2.125</v>
      </c>
      <c r="AS39" s="127">
        <f t="shared" si="26"/>
        <v>4.5454545454545459</v>
      </c>
      <c r="AT39" s="127">
        <f t="shared" si="27"/>
        <v>6.6704545454545459</v>
      </c>
      <c r="AU39" s="128">
        <f t="shared" si="28"/>
        <v>3.4732057828319931</v>
      </c>
      <c r="AV39" s="130">
        <f>+IF($O39&gt;J$8,"FIN",(J$16-SUM(AW$25:AW38))*VLOOKUP($O39,$A:$N,10,0)/VLOOKUP(J$13,$K$1:$M$4,2,0))</f>
        <v>1.7500000000000002</v>
      </c>
      <c r="AW39" s="127">
        <f t="shared" si="29"/>
        <v>0</v>
      </c>
      <c r="AX39" s="127">
        <f t="shared" si="30"/>
        <v>1.7500000000000002</v>
      </c>
      <c r="AY39" s="128">
        <f t="shared" si="31"/>
        <v>0.91119879140737126</v>
      </c>
      <c r="AZ39" s="130">
        <f>+IF($O39&gt;K$8,"FIN",(K$16-SUM(BA$25:BA38))*VLOOKUP($O39,$A:$N,11,0)/VLOOKUP(K$13,$K$1:$M$4,2,0))</f>
        <v>1.5</v>
      </c>
      <c r="BA39" s="127">
        <f t="shared" si="32"/>
        <v>0</v>
      </c>
      <c r="BB39" s="127">
        <f t="shared" si="33"/>
        <v>1.5</v>
      </c>
      <c r="BC39" s="128">
        <f t="shared" si="34"/>
        <v>0.78102753549203241</v>
      </c>
      <c r="BD39" s="130">
        <f>+IF($O39&gt;L$8,"FIN",(L$16-SUM(BE$25:BE38))*VLOOKUP($O39,$A:$N,12,0)/VLOOKUP(L$13,$K$1:$M$4,2,0))</f>
        <v>1.7732812499999999</v>
      </c>
      <c r="BE39" s="127">
        <f t="shared" si="35"/>
        <v>2.2045454545454546</v>
      </c>
      <c r="BF39" s="127">
        <f t="shared" si="36"/>
        <v>3.9778267045454543</v>
      </c>
      <c r="BG39" s="128">
        <f t="shared" si="37"/>
        <v>2.0711947917770197</v>
      </c>
      <c r="BH39" s="130">
        <f>+IF($O39&gt;M$8,"FIN",(M$16-SUM(BI$25:BI38))*VLOOKUP($O39,$A:$N,13,0)/VLOOKUP(M$13,$K$1:$M$4,2,0))</f>
        <v>1.7732812499999999</v>
      </c>
      <c r="BI39" s="127">
        <f t="shared" si="38"/>
        <v>2.2045454545454546</v>
      </c>
      <c r="BJ39" s="127">
        <f t="shared" si="39"/>
        <v>3.9778267045454543</v>
      </c>
      <c r="BK39" s="128">
        <f t="shared" si="40"/>
        <v>2.0711947917770197</v>
      </c>
      <c r="BL39" s="124"/>
      <c r="BM39" s="130">
        <f>+IF($O39&gt;B$8,"FIN",(B$19-SUM(BN$25:BN38))*VLOOKUP($O39,$A:$N,2,0)/VLOOKUP(B$13,$K$1:$M$4,2,0))</f>
        <v>5.2377689757234984</v>
      </c>
      <c r="BN39" s="131">
        <f t="shared" si="55"/>
        <v>209.51075902893996</v>
      </c>
      <c r="BO39" s="127">
        <f t="shared" si="73"/>
        <v>214.74852800466346</v>
      </c>
      <c r="BP39" s="130">
        <f>+IF($O39&gt;C$8,"FIN",(C$19-SUM(BQ$25:BQ38))*VLOOKUP($O39,$A:$N,3,0)/VLOOKUP(C$13,$K$1:$M$4,2,0))</f>
        <v>0.71800139720274891</v>
      </c>
      <c r="BQ39" s="131">
        <f t="shared" si="56"/>
        <v>57.440111776219908</v>
      </c>
      <c r="BR39" s="219">
        <f t="shared" si="74"/>
        <v>58.158113173422656</v>
      </c>
      <c r="BS39" s="130">
        <f>+IF($O39&gt;D$8,"FIN",(D$19-SUM(BT$25:BT38))*VLOOKUP($O39,$A:$N,4,0)/VLOOKUP(D$13,$K$1:$M$4,2,0))</f>
        <v>28.98</v>
      </c>
      <c r="BT39" s="127">
        <f t="shared" si="77"/>
        <v>1104</v>
      </c>
      <c r="BU39" s="127">
        <f t="shared" si="43"/>
        <v>1132.98</v>
      </c>
      <c r="BV39" s="130">
        <f>+IF($O39&gt;E$8,"FIN",(E$19-SUM(BW$25:BW38))*VLOOKUP($O39,$A:$N,5,0)/VLOOKUP(E$13,$K$1:$M$4,2,0))</f>
        <v>1.085</v>
      </c>
      <c r="BW39" s="131">
        <f t="shared" si="78"/>
        <v>248</v>
      </c>
      <c r="BX39" s="128">
        <f t="shared" si="44"/>
        <v>249.08500000000001</v>
      </c>
      <c r="BY39" s="130">
        <f>+IF($O39&gt;F$8,"FIN",(F$19-SUM(BZ$25:BZ38))*VLOOKUP($O39,$A:$N,6,0)/VLOOKUP(F$13,$K$1:$M$4,2,0))</f>
        <v>414.34960132500004</v>
      </c>
      <c r="BZ39" s="131">
        <f t="shared" si="61"/>
        <v>0</v>
      </c>
      <c r="CA39" s="128">
        <f t="shared" si="45"/>
        <v>414.34960132500004</v>
      </c>
      <c r="CB39" s="130">
        <f>+IF($O39&gt;G$8,"FIN",(G$19-SUM(CC$25:CC38))*VLOOKUP($O39,$A:$N,7,0)/VLOOKUP(G$13,$K$1:$M$4,2,0))</f>
        <v>45.570068615833065</v>
      </c>
      <c r="CC39" s="131">
        <f t="shared" si="62"/>
        <v>0</v>
      </c>
      <c r="CD39" s="128">
        <f t="shared" si="46"/>
        <v>45.570068615833065</v>
      </c>
      <c r="CE39" s="130">
        <f>+IF($O39&gt;H$8,"FIN",(H$19-SUM(CF$25:CF38))*VLOOKUP($O39,$A:$N,8,0)/VLOOKUP(H$13,$K$1:$M$4,2,0))</f>
        <v>127.31153210000001</v>
      </c>
      <c r="CF39" s="127">
        <f t="shared" si="63"/>
        <v>231.4755129090909</v>
      </c>
      <c r="CG39" s="128">
        <f t="shared" si="47"/>
        <v>358.78704500909089</v>
      </c>
      <c r="CH39" s="130">
        <f>+IF($O39&gt;I$8,"FIN",(I$19-SUM(CI$25:CI38))*VLOOKUP($O39,$A:$N,9,0)/VLOOKUP(I$13,$K$1:$M$4,2,0))</f>
        <v>122.59241600875002</v>
      </c>
      <c r="CI39" s="131">
        <f t="shared" si="64"/>
        <v>262.22976686363637</v>
      </c>
      <c r="CJ39" s="128">
        <f t="shared" si="48"/>
        <v>384.82218287238641</v>
      </c>
      <c r="CK39" s="130">
        <f>+IF($O39&gt;J$8,"FIN",(J$19-SUM(CL$25:CL38))*VLOOKUP($O39,$A:$N,10,0)/VLOOKUP(J$13,$K$1:$M$4,2,0))</f>
        <v>88.087984617500013</v>
      </c>
      <c r="CL39" s="131">
        <f t="shared" si="65"/>
        <v>0</v>
      </c>
      <c r="CM39" s="128">
        <f t="shared" si="49"/>
        <v>88.087984617500013</v>
      </c>
      <c r="CN39" s="130">
        <f>+IF($O39&gt;K$8,"FIN",(K$19-SUM(CO$25:CO38))*VLOOKUP($O39,$A:$N,11,0)/VLOOKUP(K$13,$K$1:$M$4,2,0))</f>
        <v>97.098346469999996</v>
      </c>
      <c r="CO39" s="131">
        <f t="shared" si="66"/>
        <v>0</v>
      </c>
      <c r="CP39" s="128">
        <f t="shared" si="50"/>
        <v>97.098346469999996</v>
      </c>
      <c r="CQ39" s="130">
        <f>+IF($O39&gt;L$8,"FIN",(L$19-SUM(CR$25:CR38))*VLOOKUP($O39,$A:$N,12,0)/VLOOKUP(L$13,$K$1:$M$4,2,0))</f>
        <v>0</v>
      </c>
      <c r="CR39" s="127">
        <f t="shared" si="67"/>
        <v>0</v>
      </c>
      <c r="CS39" s="128">
        <f t="shared" si="51"/>
        <v>0</v>
      </c>
      <c r="CT39" s="130">
        <f>+IF($O39&gt;M$8,"FIN",(M$19-SUM(CU$25:CU38))*VLOOKUP($O39,$A:$N,13,0)/VLOOKUP(M$13,$K$1:$M$4,2,0))</f>
        <v>0</v>
      </c>
      <c r="CU39" s="127">
        <f t="shared" si="68"/>
        <v>0</v>
      </c>
      <c r="CV39" s="128">
        <f t="shared" si="52"/>
        <v>0</v>
      </c>
      <c r="CX39" s="130">
        <f t="shared" si="69"/>
        <v>978.04877869385086</v>
      </c>
      <c r="CY39" s="127">
        <f t="shared" si="70"/>
        <v>2212.5975604713203</v>
      </c>
      <c r="CZ39" s="128">
        <f t="shared" si="71"/>
        <v>3190.6463391651714</v>
      </c>
      <c r="DA39" s="224">
        <f t="shared" si="72"/>
        <v>6.8472222222222223</v>
      </c>
      <c r="DB39" s="225">
        <f t="shared" si="3"/>
        <v>15150.147184893902</v>
      </c>
    </row>
    <row r="40" spans="1:106" s="16" customFormat="1" x14ac:dyDescent="0.25">
      <c r="A40" s="125">
        <f t="shared" si="53"/>
        <v>46761</v>
      </c>
      <c r="B40" s="164">
        <v>0.01</v>
      </c>
      <c r="C40" s="165">
        <v>5.0000000000000001E-3</v>
      </c>
      <c r="D40" s="136">
        <v>1.7500000000000002E-2</v>
      </c>
      <c r="E40" s="136">
        <v>1.25E-3</v>
      </c>
      <c r="F40" s="136">
        <v>4.7500000000000001E-2</v>
      </c>
      <c r="G40" s="136">
        <v>0.04</v>
      </c>
      <c r="H40" s="136">
        <v>0.05</v>
      </c>
      <c r="I40" s="136">
        <v>4.2500000000000003E-2</v>
      </c>
      <c r="J40" s="136">
        <v>3.5000000000000003E-2</v>
      </c>
      <c r="K40" s="136">
        <v>0.03</v>
      </c>
      <c r="L40" s="136">
        <v>4.3749999999999997E-2</v>
      </c>
      <c r="M40" s="137">
        <v>4.1250000000000002E-2</v>
      </c>
      <c r="N40" s="124">
        <f t="shared" si="4"/>
        <v>2028</v>
      </c>
      <c r="O40" s="126">
        <f t="shared" si="54"/>
        <v>46761</v>
      </c>
      <c r="P40" s="130">
        <f>+IF($O40&gt;B$8,"FIN",(B$16-SUM(Q$25:Q39))*VLOOKUP($O40,$A:$N,2,0)/VLOOKUP(B$13,$K$1:$M$4,2,0))</f>
        <v>0.2</v>
      </c>
      <c r="Q40" s="127">
        <f t="shared" si="5"/>
        <v>10</v>
      </c>
      <c r="R40" s="127">
        <f t="shared" si="6"/>
        <v>10.199999999999999</v>
      </c>
      <c r="S40" s="128">
        <f t="shared" si="7"/>
        <v>5.0638276465838912</v>
      </c>
      <c r="T40" s="130">
        <f>+IF($O40&gt;C$8,"FIN",(C$16-SUM(U$25:U39))*VLOOKUP($O40,$A:$N,3,0)/VLOOKUP(C$13,$K$1:$M$4,2,0))</f>
        <v>0.1</v>
      </c>
      <c r="U40" s="127">
        <f t="shared" si="8"/>
        <v>10</v>
      </c>
      <c r="V40" s="127">
        <f t="shared" si="9"/>
        <v>10.1</v>
      </c>
      <c r="W40" s="128">
        <f t="shared" si="10"/>
        <v>5.014182277499736</v>
      </c>
      <c r="X40" s="130">
        <f>+IF($O40&gt;D$8,"FIN",(D$16-SUM(Y$25:Y39))*VLOOKUP($O40,$A:$N,4,0)/VLOOKUP(D$13,$K$1:$M$4,2,0))</f>
        <v>0.4074000000000001</v>
      </c>
      <c r="Y40" s="127">
        <f t="shared" si="75"/>
        <v>7.76</v>
      </c>
      <c r="Z40" s="127">
        <f t="shared" si="12"/>
        <v>8.1674000000000007</v>
      </c>
      <c r="AA40" s="128">
        <f t="shared" si="13"/>
        <v>4.0547358745793414</v>
      </c>
      <c r="AB40" s="130">
        <f>+IF($O40&gt;E$8,"FIN",(E$16-SUM(AC$25:AC39))*VLOOKUP($O40,$A:$N,5,0)/VLOOKUP(E$13,$K$1:$M$4,2,0))</f>
        <v>2.9100000000000008E-2</v>
      </c>
      <c r="AC40" s="127">
        <f t="shared" si="76"/>
        <v>7.76</v>
      </c>
      <c r="AD40" s="127">
        <f t="shared" si="15"/>
        <v>7.7890999999999995</v>
      </c>
      <c r="AE40" s="128">
        <f t="shared" si="16"/>
        <v>3.8669274433339793</v>
      </c>
      <c r="AF40" s="130">
        <f>+IF($O40&gt;F$8,"FIN",(F$16-SUM(AG$25:AG39))*VLOOKUP($O40,$A:$N,6,0)/VLOOKUP(F$13,$K$1:$M$4,2,0))</f>
        <v>2.30375</v>
      </c>
      <c r="AG40" s="127">
        <f t="shared" si="17"/>
        <v>0</v>
      </c>
      <c r="AH40" s="127">
        <f t="shared" si="18"/>
        <v>2.30375</v>
      </c>
      <c r="AI40" s="128">
        <f t="shared" si="19"/>
        <v>1.1437051902762394</v>
      </c>
      <c r="AJ40" s="130">
        <f>+IF($O40&gt;G$8,"FIN",(G$16-SUM(AK$25:AK39))*VLOOKUP($O40,$A:$N,7,0)/VLOOKUP(G$13,$K$1:$M$4,2,0))</f>
        <v>1.94</v>
      </c>
      <c r="AK40" s="127">
        <f t="shared" si="20"/>
        <v>0</v>
      </c>
      <c r="AL40" s="127">
        <f t="shared" si="21"/>
        <v>1.94</v>
      </c>
      <c r="AM40" s="128">
        <f t="shared" si="22"/>
        <v>0.96312016023262259</v>
      </c>
      <c r="AN40" s="130">
        <f>+IF($O40&gt;H$8,"FIN",(H$16-SUM(AO$25:AO39))*VLOOKUP($O40,$A:$N,8,0)/VLOOKUP(H$13,$K$1:$M$4,2,0))</f>
        <v>2.3863636363636362</v>
      </c>
      <c r="AO40" s="127">
        <f t="shared" si="23"/>
        <v>4.5454545454545459</v>
      </c>
      <c r="AP40" s="127">
        <f t="shared" si="24"/>
        <v>6.9318181818181817</v>
      </c>
      <c r="AQ40" s="128">
        <f t="shared" si="25"/>
        <v>3.4413267206062543</v>
      </c>
      <c r="AR40" s="130">
        <f>+IF($O40&gt;I$8,"FIN",(I$16-SUM(AS$25:AS39))*VLOOKUP($O40,$A:$N,9,0)/VLOOKUP(I$13,$K$1:$M$4,2,0))</f>
        <v>2.0284090909090908</v>
      </c>
      <c r="AS40" s="127">
        <f t="shared" si="26"/>
        <v>4.5454545454545459</v>
      </c>
      <c r="AT40" s="127">
        <f t="shared" si="27"/>
        <v>6.5738636363636367</v>
      </c>
      <c r="AU40" s="128">
        <f t="shared" si="28"/>
        <v>3.2636188653618334</v>
      </c>
      <c r="AV40" s="130">
        <f>+IF($O40&gt;J$8,"FIN",(J$16-SUM(AW$25:AW39))*VLOOKUP($O40,$A:$N,10,0)/VLOOKUP(J$13,$K$1:$M$4,2,0))</f>
        <v>1.7500000000000002</v>
      </c>
      <c r="AW40" s="127">
        <f t="shared" si="29"/>
        <v>3.5714285714285716</v>
      </c>
      <c r="AX40" s="127">
        <f t="shared" si="30"/>
        <v>5.3214285714285721</v>
      </c>
      <c r="AY40" s="128">
        <f t="shared" si="31"/>
        <v>2.641842854835434</v>
      </c>
      <c r="AZ40" s="130">
        <f>+IF($O40&gt;K$8,"FIN",(K$16-SUM(BA$25:BA39))*VLOOKUP($O40,$A:$N,11,0)/VLOOKUP(K$13,$K$1:$M$4,2,0))</f>
        <v>1.5</v>
      </c>
      <c r="BA40" s="127">
        <f t="shared" si="32"/>
        <v>3.5714285714285716</v>
      </c>
      <c r="BB40" s="127">
        <f t="shared" si="33"/>
        <v>5.0714285714285712</v>
      </c>
      <c r="BC40" s="128">
        <f t="shared" si="34"/>
        <v>2.5177294321250443</v>
      </c>
      <c r="BD40" s="130">
        <f>+IF($O40&gt;L$8,"FIN",(L$16-SUM(BE$25:BE39))*VLOOKUP($O40,$A:$N,12,0)/VLOOKUP(L$13,$K$1:$M$4,2,0))</f>
        <v>1.8325284090909089</v>
      </c>
      <c r="BE40" s="127">
        <f t="shared" si="35"/>
        <v>2.2045454545454546</v>
      </c>
      <c r="BF40" s="127">
        <f t="shared" si="36"/>
        <v>4.0370738636363637</v>
      </c>
      <c r="BG40" s="128">
        <f t="shared" si="37"/>
        <v>2.0042202198022614</v>
      </c>
      <c r="BH40" s="130">
        <f>+IF($O40&gt;M$8,"FIN",(M$16-SUM(BI$25:BI39))*VLOOKUP($O40,$A:$N,13,0)/VLOOKUP(M$13,$K$1:$M$4,2,0))</f>
        <v>1.7278125</v>
      </c>
      <c r="BI40" s="127">
        <f t="shared" si="38"/>
        <v>2.2045454545454546</v>
      </c>
      <c r="BJ40" s="127">
        <f t="shared" si="39"/>
        <v>3.9323579545454548</v>
      </c>
      <c r="BK40" s="128">
        <f t="shared" si="40"/>
        <v>1.9522336202442507</v>
      </c>
      <c r="BL40" s="124"/>
      <c r="BM40" s="130">
        <f>+IF($O40&gt;B$8,"FIN",(B$19-SUM(BN$25:BN39))*VLOOKUP($O40,$A:$N,2,0)/VLOOKUP(B$13,$K$1:$M$4,2,0))</f>
        <v>4.1902151805787993</v>
      </c>
      <c r="BN40" s="131">
        <f t="shared" si="55"/>
        <v>209.51075902893996</v>
      </c>
      <c r="BO40" s="127">
        <f t="shared" si="73"/>
        <v>213.70097420951876</v>
      </c>
      <c r="BP40" s="130">
        <f>+IF($O40&gt;C$8,"FIN",(C$19-SUM(BQ$25:BQ39))*VLOOKUP($O40,$A:$N,3,0)/VLOOKUP(C$13,$K$1:$M$4,2,0))</f>
        <v>0.57440111776219904</v>
      </c>
      <c r="BQ40" s="131">
        <f t="shared" si="56"/>
        <v>57.440111776219908</v>
      </c>
      <c r="BR40" s="219">
        <f t="shared" si="74"/>
        <v>58.014512893982108</v>
      </c>
      <c r="BS40" s="130">
        <f>+IF($O40&gt;D$8,"FIN",(D$19-SUM(BT$25:BT39))*VLOOKUP($O40,$A:$N,4,0)/VLOOKUP(D$13,$K$1:$M$4,2,0))</f>
        <v>57.960000000000008</v>
      </c>
      <c r="BT40" s="127">
        <f t="shared" si="77"/>
        <v>1104</v>
      </c>
      <c r="BU40" s="127">
        <f t="shared" si="43"/>
        <v>1161.96</v>
      </c>
      <c r="BV40" s="130">
        <f>+IF($O40&gt;E$8,"FIN",(E$19-SUM(BW$25:BW39))*VLOOKUP($O40,$A:$N,5,0)/VLOOKUP(E$13,$K$1:$M$4,2,0))</f>
        <v>0.93</v>
      </c>
      <c r="BW40" s="131">
        <f t="shared" si="78"/>
        <v>248</v>
      </c>
      <c r="BX40" s="128">
        <f t="shared" si="44"/>
        <v>248.93</v>
      </c>
      <c r="BY40" s="130">
        <f>+IF($O40&gt;F$8,"FIN",(F$19-SUM(BZ$25:BZ39))*VLOOKUP($O40,$A:$N,6,0)/VLOOKUP(F$13,$K$1:$M$4,2,0))</f>
        <v>477.12984395000007</v>
      </c>
      <c r="BZ40" s="131">
        <f t="shared" si="61"/>
        <v>0</v>
      </c>
      <c r="CA40" s="128">
        <f t="shared" si="45"/>
        <v>477.12984395000007</v>
      </c>
      <c r="CB40" s="130">
        <f>+IF($O40&gt;G$8,"FIN",(G$19-SUM(CC$25:CC39))*VLOOKUP($O40,$A:$N,7,0)/VLOOKUP(G$13,$K$1:$M$4,2,0))</f>
        <v>47.040070829247036</v>
      </c>
      <c r="CC40" s="131">
        <f t="shared" si="62"/>
        <v>0</v>
      </c>
      <c r="CD40" s="128">
        <f t="shared" si="46"/>
        <v>47.040070829247036</v>
      </c>
      <c r="CE40" s="130">
        <f>+IF($O40&gt;H$8,"FIN",(H$19-SUM(CF$25:CF39))*VLOOKUP($O40,$A:$N,8,0)/VLOOKUP(H$13,$K$1:$M$4,2,0))</f>
        <v>121.52464427727273</v>
      </c>
      <c r="CF40" s="127">
        <f t="shared" si="63"/>
        <v>231.4755129090909</v>
      </c>
      <c r="CG40" s="128">
        <f t="shared" si="47"/>
        <v>353.00015718636359</v>
      </c>
      <c r="CH40" s="130">
        <f>+IF($O40&gt;I$8,"FIN",(I$19-SUM(CI$25:CI39))*VLOOKUP($O40,$A:$N,9,0)/VLOOKUP(I$13,$K$1:$M$4,2,0))</f>
        <v>117.02003346289774</v>
      </c>
      <c r="CI40" s="131">
        <f t="shared" si="64"/>
        <v>262.22976686363637</v>
      </c>
      <c r="CJ40" s="128">
        <f t="shared" si="48"/>
        <v>379.24980032653411</v>
      </c>
      <c r="CK40" s="130">
        <f>+IF($O40&gt;J$8,"FIN",(J$19-SUM(CL$25:CL39))*VLOOKUP($O40,$A:$N,10,0)/VLOOKUP(J$13,$K$1:$M$4,2,0))</f>
        <v>88.087984617500013</v>
      </c>
      <c r="CL40" s="131">
        <f t="shared" si="65"/>
        <v>179.77139717857145</v>
      </c>
      <c r="CM40" s="128">
        <f t="shared" si="49"/>
        <v>267.85938179607149</v>
      </c>
      <c r="CN40" s="130">
        <f>+IF($O40&gt;K$8,"FIN",(K$19-SUM(CO$25:CO39))*VLOOKUP($O40,$A:$N,11,0)/VLOOKUP(K$13,$K$1:$M$4,2,0))</f>
        <v>97.098346469999996</v>
      </c>
      <c r="CO40" s="131">
        <f t="shared" si="66"/>
        <v>231.18653921428569</v>
      </c>
      <c r="CP40" s="128">
        <f t="shared" si="50"/>
        <v>328.28488568428565</v>
      </c>
      <c r="CQ40" s="130">
        <f>+IF($O40&gt;L$8,"FIN",(L$19-SUM(CR$25:CR39))*VLOOKUP($O40,$A:$N,12,0)/VLOOKUP(L$13,$K$1:$M$4,2,0))</f>
        <v>0</v>
      </c>
      <c r="CR40" s="127">
        <f t="shared" si="67"/>
        <v>0</v>
      </c>
      <c r="CS40" s="128">
        <f t="shared" si="51"/>
        <v>0</v>
      </c>
      <c r="CT40" s="130">
        <f>+IF($O40&gt;M$8,"FIN",(M$19-SUM(CU$25:CU39))*VLOOKUP($O40,$A:$N,13,0)/VLOOKUP(M$13,$K$1:$M$4,2,0))</f>
        <v>0</v>
      </c>
      <c r="CU40" s="127">
        <f t="shared" si="68"/>
        <v>0</v>
      </c>
      <c r="CV40" s="128">
        <f t="shared" si="52"/>
        <v>0</v>
      </c>
      <c r="CX40" s="130">
        <f t="shared" si="69"/>
        <v>1057.7987822037674</v>
      </c>
      <c r="CY40" s="127">
        <f t="shared" si="70"/>
        <v>2664.2571608890848</v>
      </c>
      <c r="CZ40" s="128">
        <f t="shared" si="71"/>
        <v>3722.0559430928524</v>
      </c>
      <c r="DA40" s="224">
        <f t="shared" si="72"/>
        <v>7.3472222222222223</v>
      </c>
      <c r="DB40" s="225">
        <f t="shared" si="3"/>
        <v>19574.889418198971</v>
      </c>
    </row>
    <row r="41" spans="1:106" s="16" customFormat="1" x14ac:dyDescent="0.25">
      <c r="A41" s="125">
        <f t="shared" si="53"/>
        <v>46943</v>
      </c>
      <c r="B41" s="164">
        <v>0.01</v>
      </c>
      <c r="C41" s="165">
        <v>5.0000000000000001E-3</v>
      </c>
      <c r="D41" s="136">
        <v>1.7500000000000002E-2</v>
      </c>
      <c r="E41" s="136">
        <v>1.25E-3</v>
      </c>
      <c r="F41" s="136">
        <v>4.7500000000000001E-2</v>
      </c>
      <c r="G41" s="136">
        <v>0.04</v>
      </c>
      <c r="H41" s="136">
        <v>0.05</v>
      </c>
      <c r="I41" s="136">
        <v>4.2500000000000003E-2</v>
      </c>
      <c r="J41" s="136">
        <v>3.5000000000000003E-2</v>
      </c>
      <c r="K41" s="136">
        <v>0.03</v>
      </c>
      <c r="L41" s="136">
        <v>4.3749999999999997E-2</v>
      </c>
      <c r="M41" s="137">
        <v>4.1250000000000002E-2</v>
      </c>
      <c r="N41" s="124">
        <f t="shared" si="4"/>
        <v>2028</v>
      </c>
      <c r="O41" s="126">
        <f t="shared" si="54"/>
        <v>46943</v>
      </c>
      <c r="P41" s="130">
        <f>+IF($O41&gt;B$8,"FIN",(B$16-SUM(Q$25:Q40))*VLOOKUP($O41,$A:$N,2,0)/VLOOKUP(B$13,$K$1:$M$4,2,0))</f>
        <v>0.15</v>
      </c>
      <c r="Q41" s="127">
        <f t="shared" si="5"/>
        <v>10</v>
      </c>
      <c r="R41" s="127">
        <f t="shared" si="6"/>
        <v>10.15</v>
      </c>
      <c r="S41" s="128">
        <f t="shared" si="7"/>
        <v>4.8045027183297746</v>
      </c>
      <c r="T41" s="130">
        <f>+IF($O41&gt;C$8,"FIN",(C$16-SUM(U$25:U40))*VLOOKUP($O41,$A:$N,3,0)/VLOOKUP(C$13,$K$1:$M$4,2,0))</f>
        <v>7.4999999999999997E-2</v>
      </c>
      <c r="U41" s="127">
        <f t="shared" si="8"/>
        <v>10</v>
      </c>
      <c r="V41" s="127">
        <f t="shared" si="9"/>
        <v>10.074999999999999</v>
      </c>
      <c r="W41" s="128">
        <f t="shared" si="10"/>
        <v>4.7690014667165004</v>
      </c>
      <c r="X41" s="130">
        <f>+IF($O41&gt;D$8,"FIN",(D$16-SUM(Y$25:Y40))*VLOOKUP($O41,$A:$N,4,0)/VLOOKUP(D$13,$K$1:$M$4,2,0))</f>
        <v>0.33950000000000014</v>
      </c>
      <c r="Y41" s="127">
        <f t="shared" si="75"/>
        <v>7.76</v>
      </c>
      <c r="Z41" s="127">
        <f t="shared" si="12"/>
        <v>8.099499999999999</v>
      </c>
      <c r="AA41" s="128">
        <f t="shared" si="13"/>
        <v>3.8338984992228577</v>
      </c>
      <c r="AB41" s="130">
        <f>+IF($O41&gt;E$8,"FIN",(E$16-SUM(AC$25:AC40))*VLOOKUP($O41,$A:$N,5,0)/VLOOKUP(E$13,$K$1:$M$4,2,0))</f>
        <v>2.4250000000000008E-2</v>
      </c>
      <c r="AC41" s="127">
        <f t="shared" si="76"/>
        <v>7.76</v>
      </c>
      <c r="AD41" s="127">
        <f t="shared" si="15"/>
        <v>7.7842500000000001</v>
      </c>
      <c r="AE41" s="128">
        <f t="shared" si="16"/>
        <v>3.6846749049417289</v>
      </c>
      <c r="AF41" s="130">
        <f>+IF($O41&gt;F$8,"FIN",(F$16-SUM(AG$25:AG40))*VLOOKUP($O41,$A:$N,6,0)/VLOOKUP(F$13,$K$1:$M$4,2,0))</f>
        <v>2.30375</v>
      </c>
      <c r="AG41" s="127">
        <f t="shared" si="17"/>
        <v>0</v>
      </c>
      <c r="AH41" s="127">
        <f t="shared" si="18"/>
        <v>2.30375</v>
      </c>
      <c r="AI41" s="128">
        <f t="shared" si="19"/>
        <v>1.0904801120544059</v>
      </c>
      <c r="AJ41" s="130">
        <f>+IF($O41&gt;G$8,"FIN",(G$16-SUM(AK$25:AK40))*VLOOKUP($O41,$A:$N,7,0)/VLOOKUP(G$13,$K$1:$M$4,2,0))</f>
        <v>1.94</v>
      </c>
      <c r="AK41" s="127">
        <f t="shared" si="20"/>
        <v>0</v>
      </c>
      <c r="AL41" s="127">
        <f t="shared" si="21"/>
        <v>1.94</v>
      </c>
      <c r="AM41" s="128">
        <f t="shared" si="22"/>
        <v>0.91829904173002586</v>
      </c>
      <c r="AN41" s="130">
        <f>+IF($O41&gt;H$8,"FIN",(H$16-SUM(AO$25:AO40))*VLOOKUP($O41,$A:$N,8,0)/VLOOKUP(H$13,$K$1:$M$4,2,0))</f>
        <v>2.2727272727272729</v>
      </c>
      <c r="AO41" s="127">
        <f t="shared" si="23"/>
        <v>4.5454545454545459</v>
      </c>
      <c r="AP41" s="127">
        <f t="shared" si="24"/>
        <v>6.8181818181818183</v>
      </c>
      <c r="AQ41" s="128">
        <f t="shared" si="25"/>
        <v>3.2273865102976544</v>
      </c>
      <c r="AR41" s="130">
        <f>+IF($O41&gt;I$8,"FIN",(I$16-SUM(AS$25:AS40))*VLOOKUP($O41,$A:$N,9,0)/VLOOKUP(I$13,$K$1:$M$4,2,0))</f>
        <v>1.9318181818181819</v>
      </c>
      <c r="AS41" s="127">
        <f t="shared" si="26"/>
        <v>4.5454545454545459</v>
      </c>
      <c r="AT41" s="127">
        <f t="shared" si="27"/>
        <v>6.4772727272727275</v>
      </c>
      <c r="AU41" s="128">
        <f t="shared" si="28"/>
        <v>3.0660171847827717</v>
      </c>
      <c r="AV41" s="130">
        <f>+IF($O41&gt;J$8,"FIN",(J$16-SUM(AW$25:AW40))*VLOOKUP($O41,$A:$N,10,0)/VLOOKUP(J$13,$K$1:$M$4,2,0))</f>
        <v>1.6875000000000002</v>
      </c>
      <c r="AW41" s="127">
        <f t="shared" si="29"/>
        <v>3.5714285714285716</v>
      </c>
      <c r="AX41" s="127">
        <f t="shared" si="30"/>
        <v>5.2589285714285721</v>
      </c>
      <c r="AY41" s="128">
        <f t="shared" si="31"/>
        <v>2.489313952406965</v>
      </c>
      <c r="AZ41" s="130">
        <f>+IF($O41&gt;K$8,"FIN",(K$16-SUM(BA$25:BA40))*VLOOKUP($O41,$A:$N,11,0)/VLOOKUP(K$13,$K$1:$M$4,2,0))</f>
        <v>1.4464285714285714</v>
      </c>
      <c r="BA41" s="127">
        <f t="shared" si="32"/>
        <v>3.5714285714285716</v>
      </c>
      <c r="BB41" s="127">
        <f t="shared" si="33"/>
        <v>5.0178571428571432</v>
      </c>
      <c r="BC41" s="128">
        <f t="shared" si="34"/>
        <v>2.3752027865071548</v>
      </c>
      <c r="BD41" s="130">
        <f>+IF($O41&gt;L$8,"FIN",(L$16-SUM(BE$25:BE40))*VLOOKUP($O41,$A:$N,12,0)/VLOOKUP(L$13,$K$1:$M$4,2,0))</f>
        <v>1.7843039772727269</v>
      </c>
      <c r="BE41" s="127">
        <f t="shared" si="35"/>
        <v>2.2045454545454546</v>
      </c>
      <c r="BF41" s="127">
        <f t="shared" si="36"/>
        <v>3.9888494318181813</v>
      </c>
      <c r="BG41" s="128">
        <f t="shared" si="37"/>
        <v>1.8881219643525744</v>
      </c>
      <c r="BH41" s="130">
        <f>+IF($O41&gt;M$8,"FIN",(M$16-SUM(BI$25:BI40))*VLOOKUP($O41,$A:$N,13,0)/VLOOKUP(M$13,$K$1:$M$4,2,0))</f>
        <v>1.68234375</v>
      </c>
      <c r="BI41" s="127">
        <f t="shared" si="38"/>
        <v>2.2045454545454546</v>
      </c>
      <c r="BJ41" s="127">
        <f t="shared" si="39"/>
        <v>3.8868892045454544</v>
      </c>
      <c r="BK41" s="128">
        <f t="shared" si="40"/>
        <v>1.8398590885798316</v>
      </c>
      <c r="BL41" s="124"/>
      <c r="BM41" s="130">
        <f>+IF($O41&gt;B$8,"FIN",(B$19-SUM(BN$25:BN40))*VLOOKUP($O41,$A:$N,2,0)/VLOOKUP(B$13,$K$1:$M$4,2,0))</f>
        <v>3.1426613854340997</v>
      </c>
      <c r="BN41" s="131">
        <f t="shared" si="55"/>
        <v>209.51075902893996</v>
      </c>
      <c r="BO41" s="127">
        <f t="shared" si="73"/>
        <v>212.65342041437407</v>
      </c>
      <c r="BP41" s="130">
        <f>+IF($O41&gt;C$8,"FIN",(C$19-SUM(BQ$25:BQ40))*VLOOKUP($O41,$A:$N,3,0)/VLOOKUP(C$13,$K$1:$M$4,2,0))</f>
        <v>0.43080083832164934</v>
      </c>
      <c r="BQ41" s="131">
        <f t="shared" si="56"/>
        <v>57.440111776219908</v>
      </c>
      <c r="BR41" s="219">
        <f t="shared" si="74"/>
        <v>57.87091261454156</v>
      </c>
      <c r="BS41" s="130">
        <f>+IF($O41&gt;D$8,"FIN",(D$19-SUM(BT$25:BT40))*VLOOKUP($O41,$A:$N,4,0)/VLOOKUP(D$13,$K$1:$M$4,2,0))</f>
        <v>48.300000000000004</v>
      </c>
      <c r="BT41" s="127">
        <f t="shared" si="77"/>
        <v>1104</v>
      </c>
      <c r="BU41" s="127">
        <f t="shared" si="43"/>
        <v>1152.3</v>
      </c>
      <c r="BV41" s="130">
        <f>+IF($O41&gt;E$8,"FIN",(E$19-SUM(BW$25:BW40))*VLOOKUP($O41,$A:$N,5,0)/VLOOKUP(E$13,$K$1:$M$4,2,0))</f>
        <v>0.77500000000000002</v>
      </c>
      <c r="BW41" s="131">
        <f t="shared" si="78"/>
        <v>248</v>
      </c>
      <c r="BX41" s="128">
        <f t="shared" si="44"/>
        <v>248.77500000000001</v>
      </c>
      <c r="BY41" s="130">
        <f>+IF($O41&gt;F$8,"FIN",(F$19-SUM(BZ$25:BZ40))*VLOOKUP($O41,$A:$N,6,0)/VLOOKUP(F$13,$K$1:$M$4,2,0))</f>
        <v>477.12984395000007</v>
      </c>
      <c r="BZ41" s="131">
        <f t="shared" si="61"/>
        <v>0</v>
      </c>
      <c r="CA41" s="128">
        <f t="shared" si="45"/>
        <v>477.12984395000007</v>
      </c>
      <c r="CB41" s="130">
        <f>+IF($O41&gt;G$8,"FIN",(G$19-SUM(CC$25:CC40))*VLOOKUP($O41,$A:$N,7,0)/VLOOKUP(G$13,$K$1:$M$4,2,0))</f>
        <v>47.040070829247036</v>
      </c>
      <c r="CC41" s="131">
        <f t="shared" si="62"/>
        <v>0</v>
      </c>
      <c r="CD41" s="128">
        <f t="shared" si="46"/>
        <v>47.040070829247036</v>
      </c>
      <c r="CE41" s="130">
        <f>+IF($O41&gt;H$8,"FIN",(H$19-SUM(CF$25:CF40))*VLOOKUP($O41,$A:$N,8,0)/VLOOKUP(H$13,$K$1:$M$4,2,0))</f>
        <v>115.73775645454546</v>
      </c>
      <c r="CF41" s="127">
        <f t="shared" si="63"/>
        <v>231.4755129090909</v>
      </c>
      <c r="CG41" s="128">
        <f t="shared" si="47"/>
        <v>347.21326936363636</v>
      </c>
      <c r="CH41" s="130">
        <f>+IF($O41&gt;I$8,"FIN",(I$19-SUM(CI$25:CI40))*VLOOKUP($O41,$A:$N,9,0)/VLOOKUP(I$13,$K$1:$M$4,2,0))</f>
        <v>111.44765091704546</v>
      </c>
      <c r="CI41" s="131">
        <f t="shared" si="64"/>
        <v>262.22976686363637</v>
      </c>
      <c r="CJ41" s="128">
        <f t="shared" si="48"/>
        <v>373.67741778068182</v>
      </c>
      <c r="CK41" s="130">
        <f>+IF($O41&gt;J$8,"FIN",(J$19-SUM(CL$25:CL40))*VLOOKUP($O41,$A:$N,10,0)/VLOOKUP(J$13,$K$1:$M$4,2,0))</f>
        <v>84.941985166875014</v>
      </c>
      <c r="CL41" s="131">
        <f t="shared" si="65"/>
        <v>179.77139717857145</v>
      </c>
      <c r="CM41" s="128">
        <f t="shared" si="49"/>
        <v>264.71338234544646</v>
      </c>
      <c r="CN41" s="130">
        <f>+IF($O41&gt;K$8,"FIN",(K$19-SUM(CO$25:CO40))*VLOOKUP($O41,$A:$N,11,0)/VLOOKUP(K$13,$K$1:$M$4,2,0))</f>
        <v>93.630548381785701</v>
      </c>
      <c r="CO41" s="131">
        <f t="shared" si="66"/>
        <v>231.18653921428569</v>
      </c>
      <c r="CP41" s="128">
        <f t="shared" si="50"/>
        <v>324.81708759607136</v>
      </c>
      <c r="CQ41" s="130">
        <f>+IF($O41&gt;L$8,"FIN",(L$19-SUM(CR$25:CR40))*VLOOKUP($O41,$A:$N,12,0)/VLOOKUP(L$13,$K$1:$M$4,2,0))</f>
        <v>0</v>
      </c>
      <c r="CR41" s="127">
        <f t="shared" si="67"/>
        <v>0</v>
      </c>
      <c r="CS41" s="128">
        <f t="shared" si="51"/>
        <v>0</v>
      </c>
      <c r="CT41" s="130">
        <f>+IF($O41&gt;M$8,"FIN",(M$19-SUM(CU$25:CU40))*VLOOKUP($O41,$A:$N,13,0)/VLOOKUP(M$13,$K$1:$M$4,2,0))</f>
        <v>0</v>
      </c>
      <c r="CU41" s="127">
        <f t="shared" si="68"/>
        <v>0</v>
      </c>
      <c r="CV41" s="128">
        <f t="shared" si="52"/>
        <v>0</v>
      </c>
      <c r="CX41" s="130">
        <f t="shared" si="69"/>
        <v>1027.1754163869377</v>
      </c>
      <c r="CY41" s="127">
        <f t="shared" si="70"/>
        <v>2664.2571608890848</v>
      </c>
      <c r="CZ41" s="128">
        <f t="shared" si="71"/>
        <v>3691.4325772760226</v>
      </c>
      <c r="DA41" s="224">
        <f t="shared" si="72"/>
        <v>7.8472222222222223</v>
      </c>
      <c r="DB41" s="225">
        <f t="shared" si="3"/>
        <v>20907.017998643514</v>
      </c>
    </row>
    <row r="42" spans="1:106" s="16" customFormat="1" x14ac:dyDescent="0.25">
      <c r="A42" s="125">
        <f t="shared" si="53"/>
        <v>47127</v>
      </c>
      <c r="B42" s="164">
        <v>0.01</v>
      </c>
      <c r="C42" s="165">
        <v>5.0000000000000001E-3</v>
      </c>
      <c r="D42" s="136">
        <v>1.7500000000000002E-2</v>
      </c>
      <c r="E42" s="136">
        <v>1.25E-3</v>
      </c>
      <c r="F42" s="136">
        <v>0.05</v>
      </c>
      <c r="G42" s="136">
        <v>0.04</v>
      </c>
      <c r="H42" s="136">
        <v>0.05</v>
      </c>
      <c r="I42" s="136">
        <v>4.2500000000000003E-2</v>
      </c>
      <c r="J42" s="136">
        <v>3.5000000000000003E-2</v>
      </c>
      <c r="K42" s="136">
        <v>0.03</v>
      </c>
      <c r="L42" s="136">
        <v>0.05</v>
      </c>
      <c r="M42" s="137">
        <v>4.1250000000000002E-2</v>
      </c>
      <c r="N42" s="124">
        <f t="shared" si="4"/>
        <v>2029</v>
      </c>
      <c r="O42" s="126">
        <f t="shared" si="54"/>
        <v>47127</v>
      </c>
      <c r="P42" s="130">
        <f>+IF($O42&gt;B$8,"FIN",(B$16-SUM(Q$25:Q41))*VLOOKUP($O42,$A:$N,2,0)/VLOOKUP(B$13,$K$1:$M$4,2,0))</f>
        <v>0.1</v>
      </c>
      <c r="Q42" s="127">
        <f t="shared" si="5"/>
        <v>10</v>
      </c>
      <c r="R42" s="127">
        <f t="shared" si="6"/>
        <v>10.1</v>
      </c>
      <c r="S42" s="128">
        <f t="shared" si="7"/>
        <v>4.5583475249997596</v>
      </c>
      <c r="T42" s="130">
        <f>+IF($O42&gt;C$8,"FIN",(C$16-SUM(U$25:U41))*VLOOKUP($O42,$A:$N,3,0)/VLOOKUP(C$13,$K$1:$M$4,2,0))</f>
        <v>0.05</v>
      </c>
      <c r="U42" s="127">
        <f t="shared" si="8"/>
        <v>10</v>
      </c>
      <c r="V42" s="127">
        <f t="shared" si="9"/>
        <v>10.050000000000001</v>
      </c>
      <c r="W42" s="128">
        <f t="shared" si="10"/>
        <v>4.5357814481433261</v>
      </c>
      <c r="X42" s="130">
        <f>+IF($O42&gt;D$8,"FIN",(D$16-SUM(Y$25:Y41))*VLOOKUP($O42,$A:$N,4,0)/VLOOKUP(D$13,$K$1:$M$4,2,0))</f>
        <v>0.27160000000000006</v>
      </c>
      <c r="Y42" s="127">
        <f t="shared" si="75"/>
        <v>7.76</v>
      </c>
      <c r="Z42" s="127">
        <f t="shared" si="12"/>
        <v>8.0315999999999992</v>
      </c>
      <c r="AA42" s="128">
        <f t="shared" si="13"/>
        <v>3.6248340576027793</v>
      </c>
      <c r="AB42" s="130">
        <f>+IF($O42&gt;E$8,"FIN",(E$16-SUM(AC$25:AC41))*VLOOKUP($O42,$A:$N,5,0)/VLOOKUP(E$13,$K$1:$M$4,2,0))</f>
        <v>1.9400000000000004E-2</v>
      </c>
      <c r="AC42" s="127">
        <f t="shared" si="76"/>
        <v>7.76</v>
      </c>
      <c r="AD42" s="127">
        <f t="shared" si="15"/>
        <v>7.7793999999999999</v>
      </c>
      <c r="AE42" s="128">
        <f t="shared" si="16"/>
        <v>3.511010765938924</v>
      </c>
      <c r="AF42" s="130">
        <f>+IF($O42&gt;F$8,"FIN",(F$16-SUM(AG$25:AG41))*VLOOKUP($O42,$A:$N,6,0)/VLOOKUP(F$13,$K$1:$M$4,2,0))</f>
        <v>2.4250000000000003</v>
      </c>
      <c r="AG42" s="127">
        <f t="shared" si="17"/>
        <v>0</v>
      </c>
      <c r="AH42" s="127">
        <f t="shared" si="18"/>
        <v>2.4250000000000003</v>
      </c>
      <c r="AI42" s="128">
        <f t="shared" si="19"/>
        <v>1.0944547275370713</v>
      </c>
      <c r="AJ42" s="130">
        <f>+IF($O42&gt;G$8,"FIN",(G$16-SUM(AK$25:AK41))*VLOOKUP($O42,$A:$N,7,0)/VLOOKUP(G$13,$K$1:$M$4,2,0))</f>
        <v>1.94</v>
      </c>
      <c r="AK42" s="127">
        <f t="shared" si="20"/>
        <v>0</v>
      </c>
      <c r="AL42" s="127">
        <f t="shared" si="21"/>
        <v>1.94</v>
      </c>
      <c r="AM42" s="128">
        <f t="shared" si="22"/>
        <v>0.8755637820296569</v>
      </c>
      <c r="AN42" s="130">
        <f>+IF($O42&gt;H$8,"FIN",(H$16-SUM(AO$25:AO41))*VLOOKUP($O42,$A:$N,8,0)/VLOOKUP(H$13,$K$1:$M$4,2,0))</f>
        <v>2.1590909090909092</v>
      </c>
      <c r="AO42" s="127">
        <f t="shared" si="23"/>
        <v>4.5454545454545459</v>
      </c>
      <c r="AP42" s="127">
        <f t="shared" si="24"/>
        <v>6.704545454545455</v>
      </c>
      <c r="AQ42" s="128">
        <f t="shared" si="25"/>
        <v>3.0259057602946204</v>
      </c>
      <c r="AR42" s="130">
        <f>+IF($O42&gt;I$8,"FIN",(I$16-SUM(AS$25:AS41))*VLOOKUP($O42,$A:$N,9,0)/VLOOKUP(I$13,$K$1:$M$4,2,0))</f>
        <v>1.8352272727272727</v>
      </c>
      <c r="AS42" s="127">
        <f t="shared" si="26"/>
        <v>4.5454545454545459</v>
      </c>
      <c r="AT42" s="127">
        <f t="shared" si="27"/>
        <v>6.3806818181818183</v>
      </c>
      <c r="AU42" s="128">
        <f t="shared" si="28"/>
        <v>2.8797391261108971</v>
      </c>
      <c r="AV42" s="130">
        <f>+IF($O42&gt;J$8,"FIN",(J$16-SUM(AW$25:AW41))*VLOOKUP($O42,$A:$N,10,0)/VLOOKUP(J$13,$K$1:$M$4,2,0))</f>
        <v>1.6250000000000002</v>
      </c>
      <c r="AW42" s="127">
        <f t="shared" si="29"/>
        <v>3.5714285714285716</v>
      </c>
      <c r="AX42" s="127">
        <f t="shared" si="30"/>
        <v>5.1964285714285721</v>
      </c>
      <c r="AY42" s="128">
        <f t="shared" si="31"/>
        <v>2.3452601304365812</v>
      </c>
      <c r="AZ42" s="130">
        <f>+IF($O42&gt;K$8,"FIN",(K$16-SUM(BA$25:BA41))*VLOOKUP($O42,$A:$N,11,0)/VLOOKUP(K$13,$K$1:$M$4,2,0))</f>
        <v>1.3928571428571428</v>
      </c>
      <c r="BA42" s="127">
        <f t="shared" si="32"/>
        <v>3.5714285714285716</v>
      </c>
      <c r="BB42" s="127">
        <f t="shared" si="33"/>
        <v>4.9642857142857144</v>
      </c>
      <c r="BC42" s="128">
        <f t="shared" si="34"/>
        <v>2.2404890593174209</v>
      </c>
      <c r="BD42" s="130">
        <f>+IF($O42&gt;L$8,"FIN",(L$16-SUM(BE$25:BE41))*VLOOKUP($O42,$A:$N,12,0)/VLOOKUP(L$13,$K$1:$M$4,2,0))</f>
        <v>1.9840909090909091</v>
      </c>
      <c r="BE42" s="127">
        <f t="shared" si="35"/>
        <v>2.2045454545454546</v>
      </c>
      <c r="BF42" s="127">
        <f t="shared" si="36"/>
        <v>4.1886363636363635</v>
      </c>
      <c r="BG42" s="128">
        <f t="shared" si="37"/>
        <v>1.8904218021094865</v>
      </c>
      <c r="BH42" s="130">
        <f>+IF($O42&gt;M$8,"FIN",(M$16-SUM(BI$25:BI41))*VLOOKUP($O42,$A:$N,13,0)/VLOOKUP(M$13,$K$1:$M$4,2,0))</f>
        <v>1.6368750000000001</v>
      </c>
      <c r="BI42" s="127">
        <f t="shared" si="38"/>
        <v>2.2045454545454546</v>
      </c>
      <c r="BJ42" s="127">
        <f t="shared" si="39"/>
        <v>3.8414204545454549</v>
      </c>
      <c r="BK42" s="128">
        <f t="shared" si="40"/>
        <v>1.7337157843030424</v>
      </c>
      <c r="BL42" s="124"/>
      <c r="BM42" s="130">
        <f>+IF($O42&gt;B$8,"FIN",(B$19-SUM(BN$25:BN41))*VLOOKUP($O42,$A:$N,2,0)/VLOOKUP(B$13,$K$1:$M$4,2,0))</f>
        <v>2.0951075902894001</v>
      </c>
      <c r="BN42" s="131">
        <f t="shared" si="55"/>
        <v>209.51075902893996</v>
      </c>
      <c r="BO42" s="127">
        <f t="shared" si="73"/>
        <v>211.60586661922935</v>
      </c>
      <c r="BP42" s="130">
        <f>+IF($O42&gt;C$8,"FIN",(C$19-SUM(BQ$25:BQ41))*VLOOKUP($O42,$A:$N,3,0)/VLOOKUP(C$13,$K$1:$M$4,2,0))</f>
        <v>0.28720055888109952</v>
      </c>
      <c r="BQ42" s="131">
        <f t="shared" si="56"/>
        <v>57.440111776219908</v>
      </c>
      <c r="BR42" s="219">
        <f t="shared" si="74"/>
        <v>57.727312335101004</v>
      </c>
      <c r="BS42" s="130">
        <f>+IF($O42&gt;D$8,"FIN",(D$19-SUM(BT$25:BT41))*VLOOKUP($O42,$A:$N,4,0)/VLOOKUP(D$13,$K$1:$M$4,2,0))</f>
        <v>38.64</v>
      </c>
      <c r="BT42" s="127">
        <f t="shared" si="77"/>
        <v>1104</v>
      </c>
      <c r="BU42" s="127">
        <f t="shared" si="43"/>
        <v>1142.6400000000001</v>
      </c>
      <c r="BV42" s="130">
        <f>+IF($O42&gt;E$8,"FIN",(E$19-SUM(BW$25:BW41))*VLOOKUP($O42,$A:$N,5,0)/VLOOKUP(E$13,$K$1:$M$4,2,0))</f>
        <v>0.62</v>
      </c>
      <c r="BW42" s="131">
        <f t="shared" si="78"/>
        <v>248</v>
      </c>
      <c r="BX42" s="128">
        <f t="shared" si="44"/>
        <v>248.62</v>
      </c>
      <c r="BY42" s="130">
        <f>+IF($O42&gt;F$8,"FIN",(F$19-SUM(BZ$25:BZ41))*VLOOKUP($O42,$A:$N,6,0)/VLOOKUP(F$13,$K$1:$M$4,2,0))</f>
        <v>502.24194100000005</v>
      </c>
      <c r="BZ42" s="131">
        <f t="shared" si="61"/>
        <v>0</v>
      </c>
      <c r="CA42" s="128">
        <f t="shared" si="45"/>
        <v>502.24194100000005</v>
      </c>
      <c r="CB42" s="130">
        <f>+IF($O42&gt;G$8,"FIN",(G$19-SUM(CC$25:CC41))*VLOOKUP($O42,$A:$N,7,0)/VLOOKUP(G$13,$K$1:$M$4,2,0))</f>
        <v>47.040070829247036</v>
      </c>
      <c r="CC42" s="131">
        <f t="shared" si="62"/>
        <v>0</v>
      </c>
      <c r="CD42" s="128">
        <f t="shared" si="46"/>
        <v>47.040070829247036</v>
      </c>
      <c r="CE42" s="130">
        <f>+IF($O42&gt;H$8,"FIN",(H$19-SUM(CF$25:CF41))*VLOOKUP($O42,$A:$N,8,0)/VLOOKUP(H$13,$K$1:$M$4,2,0))</f>
        <v>109.9508686318182</v>
      </c>
      <c r="CF42" s="127">
        <f t="shared" si="63"/>
        <v>231.4755129090909</v>
      </c>
      <c r="CG42" s="128">
        <f t="shared" si="47"/>
        <v>341.42638154090912</v>
      </c>
      <c r="CH42" s="130">
        <f>+IF($O42&gt;I$8,"FIN",(I$19-SUM(CI$25:CI41))*VLOOKUP($O42,$A:$N,9,0)/VLOOKUP(I$13,$K$1:$M$4,2,0))</f>
        <v>105.87526837119319</v>
      </c>
      <c r="CI42" s="131">
        <f t="shared" si="64"/>
        <v>262.22976686363637</v>
      </c>
      <c r="CJ42" s="128">
        <f t="shared" si="48"/>
        <v>368.10503523482953</v>
      </c>
      <c r="CK42" s="130">
        <f>+IF($O42&gt;J$8,"FIN",(J$19-SUM(CL$25:CL41))*VLOOKUP($O42,$A:$N,10,0)/VLOOKUP(J$13,$K$1:$M$4,2,0))</f>
        <v>81.795985716250001</v>
      </c>
      <c r="CL42" s="131">
        <f t="shared" si="65"/>
        <v>179.77139717857145</v>
      </c>
      <c r="CM42" s="128">
        <f t="shared" si="49"/>
        <v>261.56738289482144</v>
      </c>
      <c r="CN42" s="130">
        <f>+IF($O42&gt;K$8,"FIN",(K$19-SUM(CO$25:CO41))*VLOOKUP($O42,$A:$N,11,0)/VLOOKUP(K$13,$K$1:$M$4,2,0))</f>
        <v>90.162750293571406</v>
      </c>
      <c r="CO42" s="131">
        <f t="shared" si="66"/>
        <v>231.18653921428569</v>
      </c>
      <c r="CP42" s="128">
        <f t="shared" si="50"/>
        <v>321.34928950785707</v>
      </c>
      <c r="CQ42" s="130">
        <f>+IF($O42&gt;L$8,"FIN",(L$19-SUM(CR$25:CR41))*VLOOKUP($O42,$A:$N,12,0)/VLOOKUP(L$13,$K$1:$M$4,2,0))</f>
        <v>0</v>
      </c>
      <c r="CR42" s="127">
        <f t="shared" si="67"/>
        <v>0</v>
      </c>
      <c r="CS42" s="128">
        <f t="shared" si="51"/>
        <v>0</v>
      </c>
      <c r="CT42" s="130">
        <f>+IF($O42&gt;M$8,"FIN",(M$19-SUM(CU$25:CU41))*VLOOKUP($O42,$A:$N,13,0)/VLOOKUP(M$13,$K$1:$M$4,2,0))</f>
        <v>0</v>
      </c>
      <c r="CU42" s="127">
        <f t="shared" si="68"/>
        <v>0</v>
      </c>
      <c r="CV42" s="128">
        <f t="shared" si="52"/>
        <v>0</v>
      </c>
      <c r="CX42" s="130">
        <f t="shared" si="69"/>
        <v>1021.6641476201086</v>
      </c>
      <c r="CY42" s="127">
        <f t="shared" si="70"/>
        <v>2664.2571608890848</v>
      </c>
      <c r="CZ42" s="128">
        <f t="shared" si="71"/>
        <v>3685.9213085091933</v>
      </c>
      <c r="DA42" s="224">
        <f t="shared" si="72"/>
        <v>8.3472222222222214</v>
      </c>
      <c r="DB42" s="225">
        <f t="shared" si="3"/>
        <v>22239.146579088054</v>
      </c>
    </row>
    <row r="43" spans="1:106" s="16" customFormat="1" x14ac:dyDescent="0.25">
      <c r="A43" s="125">
        <f t="shared" si="53"/>
        <v>47308</v>
      </c>
      <c r="B43" s="164">
        <v>0.01</v>
      </c>
      <c r="C43" s="165">
        <v>5.0000000000000001E-3</v>
      </c>
      <c r="D43" s="136">
        <v>1.7500000000000002E-2</v>
      </c>
      <c r="E43" s="136">
        <v>1.25E-3</v>
      </c>
      <c r="F43" s="136">
        <v>0.05</v>
      </c>
      <c r="G43" s="136">
        <v>0.04</v>
      </c>
      <c r="H43" s="136">
        <v>0.05</v>
      </c>
      <c r="I43" s="136">
        <v>4.2500000000000003E-2</v>
      </c>
      <c r="J43" s="136">
        <v>3.5000000000000003E-2</v>
      </c>
      <c r="K43" s="136">
        <v>0.03</v>
      </c>
      <c r="L43" s="136">
        <v>0.05</v>
      </c>
      <c r="M43" s="137">
        <v>4.1250000000000002E-2</v>
      </c>
      <c r="N43" s="124">
        <f t="shared" si="4"/>
        <v>2029</v>
      </c>
      <c r="O43" s="126">
        <f t="shared" si="54"/>
        <v>47308</v>
      </c>
      <c r="P43" s="130">
        <f>+IF($O43&gt;B$8,"FIN",(B$16-SUM(Q$25:Q42))*VLOOKUP($O43,$A:$N,2,0)/VLOOKUP(B$13,$K$1:$M$4,2,0))</f>
        <v>0.05</v>
      </c>
      <c r="Q43" s="127">
        <f t="shared" si="5"/>
        <v>10</v>
      </c>
      <c r="R43" s="127">
        <f t="shared" si="6"/>
        <v>10.050000000000001</v>
      </c>
      <c r="S43" s="128">
        <f t="shared" si="7"/>
        <v>4.3246979237988574</v>
      </c>
      <c r="T43" s="130">
        <f>+IF($O43&gt;C$8,"FIN",(C$16-SUM(U$25:U42))*VLOOKUP($O43,$A:$N,3,0)/VLOOKUP(C$13,$K$1:$M$4,2,0))</f>
        <v>2.5000000000000001E-2</v>
      </c>
      <c r="U43" s="127">
        <f t="shared" si="8"/>
        <v>10</v>
      </c>
      <c r="V43" s="127">
        <f t="shared" si="9"/>
        <v>10.025</v>
      </c>
      <c r="W43" s="128">
        <f t="shared" si="10"/>
        <v>4.3139399687645321</v>
      </c>
      <c r="X43" s="130">
        <f>+IF($O43&gt;D$8,"FIN",(D$16-SUM(Y$25:Y42))*VLOOKUP($O43,$A:$N,4,0)/VLOOKUP(D$13,$K$1:$M$4,2,0))</f>
        <v>0.20370000000000002</v>
      </c>
      <c r="Y43" s="127">
        <f t="shared" si="75"/>
        <v>7.76</v>
      </c>
      <c r="Z43" s="127">
        <f t="shared" si="12"/>
        <v>7.9637000000000002</v>
      </c>
      <c r="AA43" s="128">
        <f t="shared" si="13"/>
        <v>3.4269250602743244</v>
      </c>
      <c r="AB43" s="130">
        <f>+IF($O43&gt;E$8,"FIN",(E$16-SUM(AC$25:AC42))*VLOOKUP($O43,$A:$N,5,0)/VLOOKUP(E$13,$K$1:$M$4,2,0))</f>
        <v>1.455E-2</v>
      </c>
      <c r="AC43" s="127">
        <f t="shared" si="76"/>
        <v>7.76</v>
      </c>
      <c r="AD43" s="127">
        <f t="shared" si="15"/>
        <v>7.7745499999999996</v>
      </c>
      <c r="AE43" s="128">
        <f t="shared" si="16"/>
        <v>3.3455303724846175</v>
      </c>
      <c r="AF43" s="130">
        <f>+IF($O43&gt;F$8,"FIN",(F$16-SUM(AG$25:AG42))*VLOOKUP($O43,$A:$N,6,0)/VLOOKUP(F$13,$K$1:$M$4,2,0))</f>
        <v>2.4250000000000003</v>
      </c>
      <c r="AG43" s="127">
        <f t="shared" si="17"/>
        <v>0</v>
      </c>
      <c r="AH43" s="127">
        <f t="shared" si="18"/>
        <v>2.4250000000000003</v>
      </c>
      <c r="AI43" s="128">
        <f t="shared" si="19"/>
        <v>1.0435216383295751</v>
      </c>
      <c r="AJ43" s="130">
        <f>+IF($O43&gt;G$8,"FIN",(G$16-SUM(AK$25:AK42))*VLOOKUP($O43,$A:$N,7,0)/VLOOKUP(G$13,$K$1:$M$4,2,0))</f>
        <v>1.94</v>
      </c>
      <c r="AK43" s="127">
        <f t="shared" si="20"/>
        <v>0</v>
      </c>
      <c r="AL43" s="127">
        <f t="shared" si="21"/>
        <v>1.94</v>
      </c>
      <c r="AM43" s="128">
        <f t="shared" si="22"/>
        <v>0.83481731066366005</v>
      </c>
      <c r="AN43" s="130">
        <f>+IF($O43&gt;H$8,"FIN",(H$16-SUM(AO$25:AO42))*VLOOKUP($O43,$A:$N,8,0)/VLOOKUP(H$13,$K$1:$M$4,2,0))</f>
        <v>2.0454545454545454</v>
      </c>
      <c r="AO43" s="127">
        <f t="shared" si="23"/>
        <v>4.5454545454545459</v>
      </c>
      <c r="AP43" s="127">
        <f t="shared" si="24"/>
        <v>6.5909090909090917</v>
      </c>
      <c r="AQ43" s="128">
        <f t="shared" si="25"/>
        <v>2.8361881454130908</v>
      </c>
      <c r="AR43" s="130">
        <f>+IF($O43&gt;I$8,"FIN",(I$16-SUM(AS$25:AS42))*VLOOKUP($O43,$A:$N,9,0)/VLOOKUP(I$13,$K$1:$M$4,2,0))</f>
        <v>1.7386363636363638</v>
      </c>
      <c r="AS43" s="127">
        <f t="shared" si="26"/>
        <v>4.5454545454545459</v>
      </c>
      <c r="AT43" s="127">
        <f t="shared" si="27"/>
        <v>6.2840909090909101</v>
      </c>
      <c r="AU43" s="128">
        <f t="shared" si="28"/>
        <v>2.7041586972645506</v>
      </c>
      <c r="AV43" s="130">
        <f>+IF($O43&gt;J$8,"FIN",(J$16-SUM(AW$25:AW42))*VLOOKUP($O43,$A:$N,10,0)/VLOOKUP(J$13,$K$1:$M$4,2,0))</f>
        <v>1.5625</v>
      </c>
      <c r="AW43" s="127">
        <f t="shared" si="29"/>
        <v>3.5714285714285716</v>
      </c>
      <c r="AX43" s="127">
        <f t="shared" si="30"/>
        <v>5.1339285714285712</v>
      </c>
      <c r="AY43" s="128">
        <f t="shared" si="31"/>
        <v>2.209222908834704</v>
      </c>
      <c r="AZ43" s="130">
        <f>+IF($O43&gt;K$8,"FIN",(K$16-SUM(BA$25:BA42))*VLOOKUP($O43,$A:$N,11,0)/VLOOKUP(K$13,$K$1:$M$4,2,0))</f>
        <v>1.3392857142857142</v>
      </c>
      <c r="BA43" s="127">
        <f t="shared" si="32"/>
        <v>3.5714285714285716</v>
      </c>
      <c r="BB43" s="127">
        <f t="shared" si="33"/>
        <v>4.9107142857142856</v>
      </c>
      <c r="BC43" s="128">
        <f t="shared" si="34"/>
        <v>2.113169738885369</v>
      </c>
      <c r="BD43" s="130">
        <f>+IF($O43&gt;L$8,"FIN",(L$16-SUM(BE$25:BE42))*VLOOKUP($O43,$A:$N,12,0)/VLOOKUP(L$13,$K$1:$M$4,2,0))</f>
        <v>1.9289772727272727</v>
      </c>
      <c r="BE43" s="127">
        <f t="shared" si="35"/>
        <v>2.2045454545454546</v>
      </c>
      <c r="BF43" s="127">
        <f t="shared" si="36"/>
        <v>4.1335227272727275</v>
      </c>
      <c r="BG43" s="128">
        <f t="shared" si="37"/>
        <v>1.7787300653345031</v>
      </c>
      <c r="BH43" s="130">
        <f>+IF($O43&gt;M$8,"FIN",(M$16-SUM(BI$25:BI42))*VLOOKUP($O43,$A:$N,13,0)/VLOOKUP(M$13,$K$1:$M$4,2,0))</f>
        <v>1.5914062499999999</v>
      </c>
      <c r="BI43" s="127">
        <f t="shared" si="38"/>
        <v>2.2045454545454546</v>
      </c>
      <c r="BJ43" s="127">
        <f t="shared" si="39"/>
        <v>3.7959517045454545</v>
      </c>
      <c r="BK43" s="128">
        <f t="shared" si="40"/>
        <v>1.6334671099988518</v>
      </c>
      <c r="BL43" s="124"/>
      <c r="BM43" s="130">
        <f>+IF($O43&gt;B$8,"FIN",(B$19-SUM(BN$25:BN42))*VLOOKUP($O43,$A:$N,2,0)/VLOOKUP(B$13,$K$1:$M$4,2,0))</f>
        <v>1.0475537951447007</v>
      </c>
      <c r="BN43" s="131">
        <f t="shared" si="55"/>
        <v>209.51075902893996</v>
      </c>
      <c r="BO43" s="127">
        <f t="shared" si="73"/>
        <v>210.55831282408465</v>
      </c>
      <c r="BP43" s="130">
        <f>+IF($O43&gt;C$8,"FIN",(C$19-SUM(BQ$25:BQ42))*VLOOKUP($O43,$A:$N,3,0)/VLOOKUP(C$13,$K$1:$M$4,2,0))</f>
        <v>0.14360027944054962</v>
      </c>
      <c r="BQ43" s="131">
        <f t="shared" si="56"/>
        <v>57.440111776219908</v>
      </c>
      <c r="BR43" s="219">
        <f t="shared" si="74"/>
        <v>57.583712055660456</v>
      </c>
      <c r="BS43" s="130">
        <f>+IF($O43&gt;D$8,"FIN",(D$19-SUM(BT$25:BT42))*VLOOKUP($O43,$A:$N,4,0)/VLOOKUP(D$13,$K$1:$M$4,2,0))</f>
        <v>28.980000000000004</v>
      </c>
      <c r="BT43" s="127">
        <f t="shared" si="77"/>
        <v>1104</v>
      </c>
      <c r="BU43" s="127">
        <f t="shared" si="43"/>
        <v>1132.98</v>
      </c>
      <c r="BV43" s="130">
        <f>+IF($O43&gt;E$8,"FIN",(E$19-SUM(BW$25:BW42))*VLOOKUP($O43,$A:$N,5,0)/VLOOKUP(E$13,$K$1:$M$4,2,0))</f>
        <v>0.46500000000000002</v>
      </c>
      <c r="BW43" s="131">
        <f t="shared" si="78"/>
        <v>248</v>
      </c>
      <c r="BX43" s="128">
        <f t="shared" si="44"/>
        <v>248.465</v>
      </c>
      <c r="BY43" s="130">
        <f>+IF($O43&gt;F$8,"FIN",(F$19-SUM(BZ$25:BZ42))*VLOOKUP($O43,$A:$N,6,0)/VLOOKUP(F$13,$K$1:$M$4,2,0))</f>
        <v>502.24194100000005</v>
      </c>
      <c r="BZ43" s="131">
        <f t="shared" si="61"/>
        <v>0</v>
      </c>
      <c r="CA43" s="128">
        <f t="shared" si="45"/>
        <v>502.24194100000005</v>
      </c>
      <c r="CB43" s="130">
        <f>+IF($O43&gt;G$8,"FIN",(G$19-SUM(CC$25:CC42))*VLOOKUP($O43,$A:$N,7,0)/VLOOKUP(G$13,$K$1:$M$4,2,0))</f>
        <v>47.040070829247036</v>
      </c>
      <c r="CC43" s="131">
        <f t="shared" si="62"/>
        <v>0</v>
      </c>
      <c r="CD43" s="128">
        <f t="shared" si="46"/>
        <v>47.040070829247036</v>
      </c>
      <c r="CE43" s="130">
        <f>+IF($O43&gt;H$8,"FIN",(H$19-SUM(CF$25:CF42))*VLOOKUP($O43,$A:$N,8,0)/VLOOKUP(H$13,$K$1:$M$4,2,0))</f>
        <v>104.16398080909092</v>
      </c>
      <c r="CF43" s="127">
        <f t="shared" si="63"/>
        <v>231.4755129090909</v>
      </c>
      <c r="CG43" s="128">
        <f t="shared" si="47"/>
        <v>335.63949371818182</v>
      </c>
      <c r="CH43" s="130">
        <f>+IF($O43&gt;I$8,"FIN",(I$19-SUM(CI$25:CI42))*VLOOKUP($O43,$A:$N,9,0)/VLOOKUP(I$13,$K$1:$M$4,2,0))</f>
        <v>100.30288582534092</v>
      </c>
      <c r="CI43" s="131">
        <f t="shared" si="64"/>
        <v>262.22976686363637</v>
      </c>
      <c r="CJ43" s="128">
        <f t="shared" si="48"/>
        <v>362.53265268897729</v>
      </c>
      <c r="CK43" s="130">
        <f>+IF($O43&gt;J$8,"FIN",(J$19-SUM(CL$25:CL42))*VLOOKUP($O43,$A:$N,10,0)/VLOOKUP(J$13,$K$1:$M$4,2,0))</f>
        <v>78.649986265625003</v>
      </c>
      <c r="CL43" s="131">
        <f t="shared" si="65"/>
        <v>179.77139717857145</v>
      </c>
      <c r="CM43" s="128">
        <f t="shared" si="49"/>
        <v>258.42138344419647</v>
      </c>
      <c r="CN43" s="130">
        <f>+IF($O43&gt;K$8,"FIN",(K$19-SUM(CO$25:CO42))*VLOOKUP($O43,$A:$N,11,0)/VLOOKUP(K$13,$K$1:$M$4,2,0))</f>
        <v>86.694952205357126</v>
      </c>
      <c r="CO43" s="131">
        <f t="shared" si="66"/>
        <v>231.18653921428569</v>
      </c>
      <c r="CP43" s="128">
        <f t="shared" si="50"/>
        <v>317.88149141964283</v>
      </c>
      <c r="CQ43" s="130">
        <f>+IF($O43&gt;L$8,"FIN",(L$19-SUM(CR$25:CR42))*VLOOKUP($O43,$A:$N,12,0)/VLOOKUP(L$13,$K$1:$M$4,2,0))</f>
        <v>0</v>
      </c>
      <c r="CR43" s="127">
        <f t="shared" si="67"/>
        <v>0</v>
      </c>
      <c r="CS43" s="128">
        <f t="shared" si="51"/>
        <v>0</v>
      </c>
      <c r="CT43" s="130">
        <f>+IF($O43&gt;M$8,"FIN",(M$19-SUM(CU$25:CU42))*VLOOKUP($O43,$A:$N,13,0)/VLOOKUP(M$13,$K$1:$M$4,2,0))</f>
        <v>0</v>
      </c>
      <c r="CU43" s="127">
        <f t="shared" si="68"/>
        <v>0</v>
      </c>
      <c r="CV43" s="128">
        <f t="shared" si="52"/>
        <v>0</v>
      </c>
      <c r="CX43" s="130">
        <f t="shared" si="69"/>
        <v>991.04078180327906</v>
      </c>
      <c r="CY43" s="127">
        <f t="shared" si="70"/>
        <v>2664.2571608890848</v>
      </c>
      <c r="CZ43" s="128">
        <f t="shared" si="71"/>
        <v>3655.2979426923639</v>
      </c>
      <c r="DA43" s="224">
        <f t="shared" si="72"/>
        <v>8.8472222222222214</v>
      </c>
      <c r="DB43" s="225">
        <f t="shared" si="3"/>
        <v>23571.275159532597</v>
      </c>
    </row>
    <row r="44" spans="1:106" s="16" customFormat="1" x14ac:dyDescent="0.25">
      <c r="A44" s="125">
        <f t="shared" si="53"/>
        <v>47492</v>
      </c>
      <c r="B44" s="265"/>
      <c r="C44" s="266"/>
      <c r="D44" s="267">
        <v>1.7500000000000002E-2</v>
      </c>
      <c r="E44" s="267">
        <v>1.25E-3</v>
      </c>
      <c r="F44" s="136">
        <v>0.05</v>
      </c>
      <c r="G44" s="136">
        <v>0.04</v>
      </c>
      <c r="H44" s="136">
        <v>0.05</v>
      </c>
      <c r="I44" s="136">
        <v>4.2500000000000003E-2</v>
      </c>
      <c r="J44" s="136">
        <v>4.8750000000000002E-2</v>
      </c>
      <c r="K44" s="136">
        <v>4.4999999999999998E-2</v>
      </c>
      <c r="L44" s="136">
        <v>0.05</v>
      </c>
      <c r="M44" s="137">
        <v>4.1250000000000002E-2</v>
      </c>
      <c r="N44" s="124">
        <f t="shared" si="4"/>
        <v>2030</v>
      </c>
      <c r="O44" s="126">
        <f t="shared" si="54"/>
        <v>47492</v>
      </c>
      <c r="P44" s="130"/>
      <c r="Q44" s="127"/>
      <c r="R44" s="127"/>
      <c r="S44" s="128"/>
      <c r="T44" s="130"/>
      <c r="U44" s="127"/>
      <c r="V44" s="127"/>
      <c r="W44" s="128"/>
      <c r="X44" s="130">
        <f>+IF($O44&gt;D$8,"FIN",(D$16-SUM(Y$25:Y43))*VLOOKUP($O44,$A:$N,4,0)/VLOOKUP(D$13,$K$1:$M$4,2,0))</f>
        <v>0.13579999999999998</v>
      </c>
      <c r="Y44" s="127">
        <f t="shared" si="75"/>
        <v>7.76</v>
      </c>
      <c r="Z44" s="127">
        <f t="shared" si="12"/>
        <v>7.8957999999999995</v>
      </c>
      <c r="AA44" s="128">
        <f t="shared" si="13"/>
        <v>3.2395859935097295</v>
      </c>
      <c r="AB44" s="130">
        <f>+IF($O44&gt;E$8,"FIN",(E$16-SUM(AC$25:AC43))*VLOOKUP($O44,$A:$N,5,0)/VLOOKUP(E$13,$K$1:$M$4,2,0))</f>
        <v>9.6999999999999986E-3</v>
      </c>
      <c r="AC44" s="127">
        <f t="shared" si="76"/>
        <v>7.76</v>
      </c>
      <c r="AD44" s="127">
        <f t="shared" si="15"/>
        <v>7.7696999999999994</v>
      </c>
      <c r="AE44" s="128">
        <f t="shared" si="16"/>
        <v>3.1878481336625226</v>
      </c>
      <c r="AF44" s="130">
        <f>+IF($O44&gt;F$8,"FIN",(F$16-SUM(AG$25:AG43))*VLOOKUP($O44,$A:$N,6,0)/VLOOKUP(F$13,$K$1:$M$4,2,0))</f>
        <v>2.4250000000000003</v>
      </c>
      <c r="AG44" s="127">
        <f t="shared" si="17"/>
        <v>0</v>
      </c>
      <c r="AH44" s="127">
        <f t="shared" si="18"/>
        <v>2.4250000000000003</v>
      </c>
      <c r="AI44" s="128">
        <f t="shared" si="19"/>
        <v>0.99495884321551908</v>
      </c>
      <c r="AJ44" s="130">
        <f>+IF($O44&gt;G$8,"FIN",(G$16-SUM(AK$25:AK43))*VLOOKUP($O44,$A:$N,7,0)/VLOOKUP(G$13,$K$1:$M$4,2,0))</f>
        <v>1.94</v>
      </c>
      <c r="AK44" s="127">
        <f t="shared" si="20"/>
        <v>0</v>
      </c>
      <c r="AL44" s="127">
        <f t="shared" si="21"/>
        <v>1.94</v>
      </c>
      <c r="AM44" s="128">
        <f t="shared" si="22"/>
        <v>0.79596707457241522</v>
      </c>
      <c r="AN44" s="130">
        <f>+IF($O44&gt;H$8,"FIN",(H$16-SUM(AO$25:AO43))*VLOOKUP($O44,$A:$N,8,0)/VLOOKUP(H$13,$K$1:$M$4,2,0))</f>
        <v>1.9318181818181817</v>
      </c>
      <c r="AO44" s="127">
        <f t="shared" si="23"/>
        <v>4.5454545454545459</v>
      </c>
      <c r="AP44" s="127">
        <f t="shared" si="24"/>
        <v>6.4772727272727275</v>
      </c>
      <c r="AQ44" s="128">
        <f t="shared" si="25"/>
        <v>2.6575751669767849</v>
      </c>
      <c r="AR44" s="130">
        <f>+IF($O44&gt;I$8,"FIN",(I$16-SUM(AS$25:AS43))*VLOOKUP($O44,$A:$N,9,0)/VLOOKUP(I$13,$K$1:$M$4,2,0))</f>
        <v>1.6420454545454546</v>
      </c>
      <c r="AS44" s="127">
        <f t="shared" si="26"/>
        <v>4.5454545454545459</v>
      </c>
      <c r="AT44" s="127">
        <f t="shared" si="27"/>
        <v>6.1875</v>
      </c>
      <c r="AU44" s="128">
        <f t="shared" si="28"/>
        <v>2.538683646348876</v>
      </c>
      <c r="AV44" s="130">
        <f>+IF($O44&gt;J$8,"FIN",(J$16-SUM(AW$25:AW43))*VLOOKUP($O44,$A:$N,10,0)/VLOOKUP(J$13,$K$1:$M$4,2,0))</f>
        <v>2.0892857142857144</v>
      </c>
      <c r="AW44" s="127">
        <f t="shared" si="29"/>
        <v>3.5714285714285716</v>
      </c>
      <c r="AX44" s="127">
        <f t="shared" si="30"/>
        <v>5.6607142857142865</v>
      </c>
      <c r="AY44" s="128">
        <f t="shared" si="31"/>
        <v>2.3225475206135462</v>
      </c>
      <c r="AZ44" s="130">
        <f>+IF($O44&gt;K$8,"FIN",(K$16-SUM(BA$25:BA43))*VLOOKUP($O44,$A:$N,11,0)/VLOOKUP(K$13,$K$1:$M$4,2,0))</f>
        <v>1.9285714285714284</v>
      </c>
      <c r="BA44" s="127">
        <f t="shared" si="32"/>
        <v>3.5714285714285716</v>
      </c>
      <c r="BB44" s="127">
        <f t="shared" si="33"/>
        <v>5.5</v>
      </c>
      <c r="BC44" s="128">
        <f t="shared" si="34"/>
        <v>2.2566076856434454</v>
      </c>
      <c r="BD44" s="130">
        <f>+IF($O44&gt;L$8,"FIN",(L$16-SUM(BE$25:BE43))*VLOOKUP($O44,$A:$N,12,0)/VLOOKUP(L$13,$K$1:$M$4,2,0))</f>
        <v>1.8738636363636365</v>
      </c>
      <c r="BE44" s="127">
        <f t="shared" si="35"/>
        <v>2.2045454545454546</v>
      </c>
      <c r="BF44" s="127">
        <f t="shared" si="36"/>
        <v>4.0784090909090907</v>
      </c>
      <c r="BG44" s="128">
        <f t="shared" si="37"/>
        <v>1.6733398726806454</v>
      </c>
      <c r="BH44" s="130">
        <f>+IF($O44&gt;M$8,"FIN",(M$16-SUM(BI$25:BI43))*VLOOKUP($O44,$A:$N,13,0)/VLOOKUP(M$13,$K$1:$M$4,2,0))</f>
        <v>1.5459375</v>
      </c>
      <c r="BI44" s="127">
        <f t="shared" si="38"/>
        <v>2.2045454545454546</v>
      </c>
      <c r="BJ44" s="127">
        <f t="shared" si="39"/>
        <v>3.7504829545454546</v>
      </c>
      <c r="BK44" s="128">
        <f t="shared" si="40"/>
        <v>1.5387943018367289</v>
      </c>
      <c r="BL44" s="124"/>
      <c r="BM44" s="130"/>
      <c r="BN44" s="127"/>
      <c r="BO44" s="127"/>
      <c r="BP44" s="130"/>
      <c r="BQ44" s="127"/>
      <c r="BR44" s="128"/>
      <c r="BS44" s="130">
        <f>+IF($O44&gt;D$8,"FIN",(D$19-SUM(BT$25:BT43))*VLOOKUP($O44,$A:$N,4,0)/VLOOKUP(D$13,$K$1:$M$4,2,0))</f>
        <v>19.32</v>
      </c>
      <c r="BT44" s="127">
        <f t="shared" si="77"/>
        <v>1104</v>
      </c>
      <c r="BU44" s="127">
        <f t="shared" si="43"/>
        <v>1123.32</v>
      </c>
      <c r="BV44" s="130">
        <f>+IF($O44&gt;E$8,"FIN",(E$19-SUM(BW$25:BW43))*VLOOKUP($O44,$A:$N,5,0)/VLOOKUP(E$13,$K$1:$M$4,2,0))</f>
        <v>0.31</v>
      </c>
      <c r="BW44" s="131">
        <f t="shared" si="78"/>
        <v>248</v>
      </c>
      <c r="BX44" s="128">
        <f t="shared" si="44"/>
        <v>248.31</v>
      </c>
      <c r="BY44" s="130">
        <f>+IF($O44&gt;F$8,"FIN",(F$19-SUM(BZ$25:BZ43))*VLOOKUP($O44,$A:$N,6,0)/VLOOKUP(F$13,$K$1:$M$4,2,0))</f>
        <v>502.24194100000005</v>
      </c>
      <c r="BZ44" s="131">
        <f t="shared" si="61"/>
        <v>0</v>
      </c>
      <c r="CA44" s="128">
        <f t="shared" si="45"/>
        <v>502.24194100000005</v>
      </c>
      <c r="CB44" s="130">
        <f>+IF($O44&gt;G$8,"FIN",(G$19-SUM(CC$25:CC43))*VLOOKUP($O44,$A:$N,7,0)/VLOOKUP(G$13,$K$1:$M$4,2,0))</f>
        <v>47.040070829247036</v>
      </c>
      <c r="CC44" s="131">
        <f t="shared" si="62"/>
        <v>0</v>
      </c>
      <c r="CD44" s="128">
        <f t="shared" si="46"/>
        <v>47.040070829247036</v>
      </c>
      <c r="CE44" s="130">
        <f>+IF($O44&gt;H$8,"FIN",(H$19-SUM(CF$25:CF43))*VLOOKUP($O44,$A:$N,8,0)/VLOOKUP(H$13,$K$1:$M$4,2,0))</f>
        <v>98.37709298636365</v>
      </c>
      <c r="CF44" s="127">
        <f t="shared" si="63"/>
        <v>231.4755129090909</v>
      </c>
      <c r="CG44" s="128">
        <f t="shared" si="47"/>
        <v>329.85260589545453</v>
      </c>
      <c r="CH44" s="130">
        <f>+IF($O44&gt;I$8,"FIN",(I$19-SUM(CI$25:CI43))*VLOOKUP($O44,$A:$N,9,0)/VLOOKUP(I$13,$K$1:$M$4,2,0))</f>
        <v>94.730503279488644</v>
      </c>
      <c r="CI44" s="131">
        <f t="shared" si="64"/>
        <v>262.22976686363637</v>
      </c>
      <c r="CJ44" s="128">
        <f t="shared" si="48"/>
        <v>356.960270143125</v>
      </c>
      <c r="CK44" s="130">
        <f>+IF($O44&gt;J$8,"FIN",(J$19-SUM(CL$25:CL43))*VLOOKUP($O44,$A:$N,10,0)/VLOOKUP(J$13,$K$1:$M$4,2,0))</f>
        <v>105.16626734946428</v>
      </c>
      <c r="CL44" s="131">
        <f t="shared" si="65"/>
        <v>179.77139717857145</v>
      </c>
      <c r="CM44" s="128">
        <f t="shared" si="49"/>
        <v>284.93766452803573</v>
      </c>
      <c r="CN44" s="130">
        <f>+IF($O44&gt;K$8,"FIN",(K$19-SUM(CO$25:CO43))*VLOOKUP($O44,$A:$N,11,0)/VLOOKUP(K$13,$K$1:$M$4,2,0))</f>
        <v>124.84073117571428</v>
      </c>
      <c r="CO44" s="131">
        <f t="shared" si="66"/>
        <v>231.18653921428569</v>
      </c>
      <c r="CP44" s="128">
        <f t="shared" si="50"/>
        <v>356.02727038999996</v>
      </c>
      <c r="CQ44" s="130">
        <f>+IF($O44&gt;L$8,"FIN",(L$19-SUM(CR$25:CR43))*VLOOKUP($O44,$A:$N,12,0)/VLOOKUP(L$13,$K$1:$M$4,2,0))</f>
        <v>0</v>
      </c>
      <c r="CR44" s="127">
        <f t="shared" si="67"/>
        <v>0</v>
      </c>
      <c r="CS44" s="128">
        <f t="shared" si="51"/>
        <v>0</v>
      </c>
      <c r="CT44" s="130">
        <f>+IF($O44&gt;M$8,"FIN",(M$19-SUM(CU$25:CU43))*VLOOKUP($O44,$A:$N,13,0)/VLOOKUP(M$13,$K$1:$M$4,2,0))</f>
        <v>0</v>
      </c>
      <c r="CU44" s="127">
        <f t="shared" si="68"/>
        <v>0</v>
      </c>
      <c r="CV44" s="128">
        <f t="shared" si="52"/>
        <v>0</v>
      </c>
      <c r="CX44" s="130">
        <f t="shared" si="69"/>
        <v>1039.0195731039687</v>
      </c>
      <c r="CY44" s="127">
        <f t="shared" si="70"/>
        <v>2387.1936419210415</v>
      </c>
      <c r="CZ44" s="128">
        <f t="shared" si="71"/>
        <v>3426.21321502501</v>
      </c>
      <c r="DA44" s="224">
        <f t="shared" si="72"/>
        <v>9.3472222222222214</v>
      </c>
      <c r="DB44" s="225">
        <f t="shared" si="3"/>
        <v>22313.629458511954</v>
      </c>
    </row>
    <row r="45" spans="1:106" s="16" customFormat="1" x14ac:dyDescent="0.25">
      <c r="A45" s="125">
        <f t="shared" si="53"/>
        <v>47673</v>
      </c>
      <c r="B45" s="265"/>
      <c r="C45" s="266"/>
      <c r="D45" s="267">
        <v>1.7500000000000002E-2</v>
      </c>
      <c r="E45" s="267">
        <v>1.25E-3</v>
      </c>
      <c r="F45" s="136">
        <v>0.05</v>
      </c>
      <c r="G45" s="136">
        <v>0.04</v>
      </c>
      <c r="H45" s="136">
        <v>0.05</v>
      </c>
      <c r="I45" s="136">
        <v>4.2500000000000003E-2</v>
      </c>
      <c r="J45" s="136">
        <v>4.8750000000000002E-2</v>
      </c>
      <c r="K45" s="136">
        <v>4.4999999999999998E-2</v>
      </c>
      <c r="L45" s="136">
        <v>0.05</v>
      </c>
      <c r="M45" s="137">
        <v>4.1250000000000002E-2</v>
      </c>
      <c r="N45" s="124">
        <f t="shared" si="4"/>
        <v>2030</v>
      </c>
      <c r="O45" s="126">
        <f t="shared" si="54"/>
        <v>47673</v>
      </c>
      <c r="P45" s="130"/>
      <c r="Q45" s="127"/>
      <c r="R45" s="127"/>
      <c r="S45" s="128"/>
      <c r="T45" s="130"/>
      <c r="U45" s="127"/>
      <c r="V45" s="127"/>
      <c r="W45" s="128"/>
      <c r="X45" s="130">
        <f>+IF($O45&gt;D$8,"FIN",(D$16-SUM(Y$25:Y44))*VLOOKUP($O45,$A:$N,4,0)/VLOOKUP(D$13,$K$1:$M$4,2,0))</f>
        <v>6.7899999999999933E-2</v>
      </c>
      <c r="Y45" s="127">
        <f t="shared" si="75"/>
        <v>7.76</v>
      </c>
      <c r="Z45" s="127">
        <f t="shared" si="12"/>
        <v>7.8278999999999996</v>
      </c>
      <c r="AA45" s="128">
        <f t="shared" si="13"/>
        <v>3.0622616804798795</v>
      </c>
      <c r="AB45" s="130">
        <f>+IF($O45&gt;E$8,"FIN",(E$16-SUM(AC$25:AC44))*VLOOKUP($O45,$A:$N,5,0)/VLOOKUP(E$13,$K$1:$M$4,2,0))</f>
        <v>4.8499999999999941E-3</v>
      </c>
      <c r="AC45" s="127">
        <f t="shared" si="76"/>
        <v>7.76</v>
      </c>
      <c r="AD45" s="127">
        <f t="shared" si="15"/>
        <v>7.76485</v>
      </c>
      <c r="AE45" s="128">
        <f t="shared" si="16"/>
        <v>3.0375966235739078</v>
      </c>
      <c r="AF45" s="130">
        <f>+IF($O45&gt;F$8,"FIN",(F$16-SUM(AG$25:AG44))*VLOOKUP($O45,$A:$N,6,0)/VLOOKUP(F$13,$K$1:$M$4,2,0))</f>
        <v>2.4250000000000003</v>
      </c>
      <c r="AG45" s="127">
        <f t="shared" si="17"/>
        <v>0</v>
      </c>
      <c r="AH45" s="127">
        <f t="shared" si="18"/>
        <v>2.4250000000000003</v>
      </c>
      <c r="AI45" s="128">
        <f t="shared" si="19"/>
        <v>0.94865603484506822</v>
      </c>
      <c r="AJ45" s="130">
        <f>+IF($O45&gt;G$8,"FIN",(G$16-SUM(AK$25:AK44))*VLOOKUP($O45,$A:$N,7,0)/VLOOKUP(G$13,$K$1:$M$4,2,0))</f>
        <v>1.94</v>
      </c>
      <c r="AK45" s="127">
        <f t="shared" si="20"/>
        <v>0</v>
      </c>
      <c r="AL45" s="127">
        <f t="shared" si="21"/>
        <v>1.94</v>
      </c>
      <c r="AM45" s="128">
        <f t="shared" si="22"/>
        <v>0.75892482787605442</v>
      </c>
      <c r="AN45" s="130">
        <f>+IF($O45&gt;H$8,"FIN",(H$16-SUM(AO$25:AO44))*VLOOKUP($O45,$A:$N,8,0)/VLOOKUP(H$13,$K$1:$M$4,2,0))</f>
        <v>1.8181818181818181</v>
      </c>
      <c r="AO45" s="127">
        <f t="shared" si="23"/>
        <v>4.5454545454545459</v>
      </c>
      <c r="AP45" s="127">
        <f t="shared" si="24"/>
        <v>6.3636363636363642</v>
      </c>
      <c r="AQ45" s="128">
        <f t="shared" si="25"/>
        <v>2.4894441401744993</v>
      </c>
      <c r="AR45" s="130">
        <f>+IF($O45&gt;I$8,"FIN",(I$16-SUM(AS$25:AS44))*VLOOKUP($O45,$A:$N,9,0)/VLOOKUP(I$13,$K$1:$M$4,2,0))</f>
        <v>1.5454545454545454</v>
      </c>
      <c r="AS45" s="127">
        <f t="shared" si="26"/>
        <v>4.5454545454545459</v>
      </c>
      <c r="AT45" s="127">
        <f t="shared" si="27"/>
        <v>6.0909090909090917</v>
      </c>
      <c r="AU45" s="128">
        <f t="shared" si="28"/>
        <v>2.382753677024164</v>
      </c>
      <c r="AV45" s="130">
        <f>+IF($O45&gt;J$8,"FIN",(J$16-SUM(AW$25:AW44))*VLOOKUP($O45,$A:$N,10,0)/VLOOKUP(J$13,$K$1:$M$4,2,0))</f>
        <v>2.0022321428571428</v>
      </c>
      <c r="AW45" s="127">
        <f t="shared" si="29"/>
        <v>3.5714285714285716</v>
      </c>
      <c r="AX45" s="127">
        <f t="shared" si="30"/>
        <v>5.5736607142857144</v>
      </c>
      <c r="AY45" s="128">
        <f t="shared" si="31"/>
        <v>2.1804069578499035</v>
      </c>
      <c r="AZ45" s="130">
        <f>+IF($O45&gt;K$8,"FIN",(K$16-SUM(BA$25:BA44))*VLOOKUP($O45,$A:$N,11,0)/VLOOKUP(K$13,$K$1:$M$4,2,0))</f>
        <v>1.8482142857142856</v>
      </c>
      <c r="BA45" s="127">
        <f t="shared" si="32"/>
        <v>3.5714285714285716</v>
      </c>
      <c r="BB45" s="127">
        <f t="shared" si="33"/>
        <v>5.4196428571428577</v>
      </c>
      <c r="BC45" s="128">
        <f t="shared" si="34"/>
        <v>2.1201554239725935</v>
      </c>
      <c r="BD45" s="130">
        <f>+IF($O45&gt;L$8,"FIN",(L$16-SUM(BE$25:BE44))*VLOOKUP($O45,$A:$N,12,0)/VLOOKUP(L$13,$K$1:$M$4,2,0))</f>
        <v>1.8187500000000001</v>
      </c>
      <c r="BE45" s="127">
        <f t="shared" si="35"/>
        <v>2.2045454545454546</v>
      </c>
      <c r="BF45" s="127">
        <f t="shared" si="36"/>
        <v>4.0232954545454547</v>
      </c>
      <c r="BG45" s="128">
        <f t="shared" si="37"/>
        <v>1.5739066032656812</v>
      </c>
      <c r="BH45" s="130">
        <f>+IF($O45&gt;M$8,"FIN",(M$16-SUM(BI$25:BI44))*VLOOKUP($O45,$A:$N,13,0)/VLOOKUP(M$13,$K$1:$M$4,2,0))</f>
        <v>1.50046875</v>
      </c>
      <c r="BI45" s="127">
        <f t="shared" si="38"/>
        <v>2.2045454545454546</v>
      </c>
      <c r="BJ45" s="127">
        <f t="shared" si="39"/>
        <v>3.7050142045454546</v>
      </c>
      <c r="BK45" s="128">
        <f t="shared" si="40"/>
        <v>1.4493954986922659</v>
      </c>
      <c r="BL45" s="124"/>
      <c r="BM45" s="130"/>
      <c r="BN45" s="127"/>
      <c r="BO45" s="127"/>
      <c r="BP45" s="130"/>
      <c r="BQ45" s="127"/>
      <c r="BR45" s="128"/>
      <c r="BS45" s="130">
        <f>+IF($O45&gt;D$8,"FIN",(D$19-SUM(BT$25:BT44))*VLOOKUP($O45,$A:$N,4,0)/VLOOKUP(D$13,$K$1:$M$4,2,0))</f>
        <v>9.66</v>
      </c>
      <c r="BT45" s="127">
        <f t="shared" si="77"/>
        <v>1104</v>
      </c>
      <c r="BU45" s="127">
        <f t="shared" ref="BU45" si="79">+SUM(BS45:BT45)</f>
        <v>1113.6600000000001</v>
      </c>
      <c r="BV45" s="130">
        <f>+IF($O45&gt;E$8,"FIN",(E$19-SUM(BW$25:BW44))*VLOOKUP($O45,$A:$N,5,0)/VLOOKUP(E$13,$K$1:$M$4,2,0))</f>
        <v>0.155</v>
      </c>
      <c r="BW45" s="131">
        <f t="shared" si="78"/>
        <v>248</v>
      </c>
      <c r="BX45" s="128">
        <f t="shared" si="44"/>
        <v>248.155</v>
      </c>
      <c r="BY45" s="130">
        <f>+IF($O45&gt;F$8,"FIN",(F$19-SUM(BZ$25:BZ44))*VLOOKUP($O45,$A:$N,6,0)/VLOOKUP(F$13,$K$1:$M$4,2,0))</f>
        <v>502.24194100000005</v>
      </c>
      <c r="BZ45" s="131">
        <f t="shared" si="61"/>
        <v>0</v>
      </c>
      <c r="CA45" s="128">
        <f t="shared" si="45"/>
        <v>502.24194100000005</v>
      </c>
      <c r="CB45" s="130">
        <f>+IF($O45&gt;G$8,"FIN",(G$19-SUM(CC$25:CC44))*VLOOKUP($O45,$A:$N,7,0)/VLOOKUP(G$13,$K$1:$M$4,2,0))</f>
        <v>47.040070829247036</v>
      </c>
      <c r="CC45" s="131">
        <f t="shared" si="62"/>
        <v>0</v>
      </c>
      <c r="CD45" s="128">
        <f t="shared" si="46"/>
        <v>47.040070829247036</v>
      </c>
      <c r="CE45" s="130">
        <f>+IF($O45&gt;H$8,"FIN",(H$19-SUM(CF$25:CF44))*VLOOKUP($O45,$A:$N,8,0)/VLOOKUP(H$13,$K$1:$M$4,2,0))</f>
        <v>92.590205163636369</v>
      </c>
      <c r="CF45" s="127">
        <f t="shared" si="63"/>
        <v>231.4755129090909</v>
      </c>
      <c r="CG45" s="128">
        <f t="shared" si="47"/>
        <v>324.06571807272724</v>
      </c>
      <c r="CH45" s="130">
        <f>+IF($O45&gt;I$8,"FIN",(I$19-SUM(CI$25:CI44))*VLOOKUP($O45,$A:$N,9,0)/VLOOKUP(I$13,$K$1:$M$4,2,0))</f>
        <v>89.158120733636366</v>
      </c>
      <c r="CI45" s="131">
        <f t="shared" si="64"/>
        <v>262.22976686363637</v>
      </c>
      <c r="CJ45" s="128">
        <f t="shared" si="48"/>
        <v>351.38788759727277</v>
      </c>
      <c r="CK45" s="130">
        <f>+IF($O45&gt;J$8,"FIN",(J$19-SUM(CL$25:CL44))*VLOOKUP($O45,$A:$N,10,0)/VLOOKUP(J$13,$K$1:$M$4,2,0))</f>
        <v>100.7843395432366</v>
      </c>
      <c r="CL45" s="131">
        <f t="shared" si="65"/>
        <v>179.77139717857145</v>
      </c>
      <c r="CM45" s="128">
        <f t="shared" si="49"/>
        <v>280.55573672180805</v>
      </c>
      <c r="CN45" s="130">
        <f>+IF($O45&gt;K$8,"FIN",(K$19-SUM(CO$25:CO44))*VLOOKUP($O45,$A:$N,11,0)/VLOOKUP(K$13,$K$1:$M$4,2,0))</f>
        <v>119.63903404339284</v>
      </c>
      <c r="CO45" s="131">
        <f t="shared" si="66"/>
        <v>231.18653921428569</v>
      </c>
      <c r="CP45" s="128">
        <f t="shared" si="50"/>
        <v>350.82557325767851</v>
      </c>
      <c r="CQ45" s="130">
        <f>+IF($O45&gt;L$8,"FIN",(L$19-SUM(CR$25:CR44))*VLOOKUP($O45,$A:$N,12,0)/VLOOKUP(L$13,$K$1:$M$4,2,0))</f>
        <v>0</v>
      </c>
      <c r="CR45" s="127">
        <f t="shared" si="67"/>
        <v>0</v>
      </c>
      <c r="CS45" s="128">
        <f t="shared" si="51"/>
        <v>0</v>
      </c>
      <c r="CT45" s="130">
        <f>+IF($O45&gt;M$8,"FIN",(M$19-SUM(CU$25:CU44))*VLOOKUP($O45,$A:$N,13,0)/VLOOKUP(M$13,$K$1:$M$4,2,0))</f>
        <v>0</v>
      </c>
      <c r="CU45" s="127">
        <f t="shared" si="68"/>
        <v>0</v>
      </c>
      <c r="CV45" s="128">
        <f t="shared" si="52"/>
        <v>0</v>
      </c>
      <c r="CX45" s="130">
        <f t="shared" si="69"/>
        <v>1006.337553102235</v>
      </c>
      <c r="CY45" s="127">
        <f t="shared" si="70"/>
        <v>2387.1936419210415</v>
      </c>
      <c r="CZ45" s="128">
        <f t="shared" si="71"/>
        <v>3393.5311950232763</v>
      </c>
      <c r="DA45" s="224">
        <f t="shared" si="72"/>
        <v>9.8472222222222214</v>
      </c>
      <c r="DB45" s="225">
        <f t="shared" si="3"/>
        <v>23507.226279472477</v>
      </c>
    </row>
    <row r="46" spans="1:106" s="16" customFormat="1" x14ac:dyDescent="0.25">
      <c r="A46" s="125">
        <f t="shared" si="53"/>
        <v>47857</v>
      </c>
      <c r="B46" s="134"/>
      <c r="C46" s="135"/>
      <c r="D46" s="136"/>
      <c r="E46" s="136"/>
      <c r="F46" s="136">
        <v>0.05</v>
      </c>
      <c r="G46" s="136">
        <v>0.04</v>
      </c>
      <c r="H46" s="136">
        <v>0.05</v>
      </c>
      <c r="I46" s="136">
        <v>4.2500000000000003E-2</v>
      </c>
      <c r="J46" s="136">
        <v>4.8750000000000002E-2</v>
      </c>
      <c r="K46" s="136">
        <v>4.4999999999999998E-2</v>
      </c>
      <c r="L46" s="136">
        <v>0.05</v>
      </c>
      <c r="M46" s="137">
        <v>4.1250000000000002E-2</v>
      </c>
      <c r="N46" s="124">
        <f t="shared" si="4"/>
        <v>2031</v>
      </c>
      <c r="O46" s="126">
        <f t="shared" si="54"/>
        <v>47857</v>
      </c>
      <c r="P46" s="130"/>
      <c r="Q46" s="127"/>
      <c r="R46" s="127"/>
      <c r="S46" s="128"/>
      <c r="T46" s="130"/>
      <c r="U46" s="127"/>
      <c r="V46" s="127"/>
      <c r="W46" s="128"/>
      <c r="X46" s="130"/>
      <c r="Y46" s="127"/>
      <c r="Z46" s="127"/>
      <c r="AA46" s="128"/>
      <c r="AB46" s="130"/>
      <c r="AC46" s="127"/>
      <c r="AD46" s="127"/>
      <c r="AE46" s="128"/>
      <c r="AF46" s="130">
        <f>+IF($O46&gt;F$8,"FIN",(F$16-SUM(AG$25:AG45))*VLOOKUP($O46,$A:$N,6,0)/VLOOKUP(F$13,$K$1:$M$4,2,0))</f>
        <v>2.4250000000000003</v>
      </c>
      <c r="AG46" s="127">
        <f t="shared" si="17"/>
        <v>9.6999999999999993</v>
      </c>
      <c r="AH46" s="127">
        <f t="shared" si="18"/>
        <v>12.125</v>
      </c>
      <c r="AI46" s="128">
        <f t="shared" si="19"/>
        <v>4.5225401964341767</v>
      </c>
      <c r="AJ46" s="130">
        <f>+IF($O46&gt;G$8,"FIN",(G$16-SUM(AK$25:AK45))*VLOOKUP($O46,$A:$N,7,0)/VLOOKUP(G$13,$K$1:$M$4,2,0))</f>
        <v>1.94</v>
      </c>
      <c r="AK46" s="127">
        <f t="shared" si="20"/>
        <v>9.6999999999999993</v>
      </c>
      <c r="AL46" s="127">
        <f t="shared" si="21"/>
        <v>11.639999999999999</v>
      </c>
      <c r="AM46" s="128">
        <f t="shared" si="22"/>
        <v>4.3416385885768092</v>
      </c>
      <c r="AN46" s="130">
        <f>+IF($O46&gt;H$8,"FIN",(H$16-SUM(AO$25:AO45))*VLOOKUP($O46,$A:$N,8,0)/VLOOKUP(H$13,$K$1:$M$4,2,0))</f>
        <v>1.7045454545454544</v>
      </c>
      <c r="AO46" s="127">
        <f t="shared" si="23"/>
        <v>4.5454545454545459</v>
      </c>
      <c r="AP46" s="127">
        <f t="shared" si="24"/>
        <v>6.25</v>
      </c>
      <c r="AQ46" s="128">
        <f t="shared" si="25"/>
        <v>2.3312062868217405</v>
      </c>
      <c r="AR46" s="130">
        <f>+IF($O46&gt;I$8,"FIN",(I$16-SUM(AS$25:AS45))*VLOOKUP($O46,$A:$N,9,0)/VLOOKUP(I$13,$K$1:$M$4,2,0))</f>
        <v>1.4488636363636362</v>
      </c>
      <c r="AS46" s="127">
        <f t="shared" si="26"/>
        <v>4.5454545454545459</v>
      </c>
      <c r="AT46" s="127">
        <f t="shared" si="27"/>
        <v>5.9943181818181817</v>
      </c>
      <c r="AU46" s="128">
        <f t="shared" si="28"/>
        <v>2.2358387569063058</v>
      </c>
      <c r="AV46" s="130">
        <f>+IF($O46&gt;J$8,"FIN",(J$16-SUM(AW$25:AW45))*VLOOKUP($O46,$A:$N,10,0)/VLOOKUP(J$13,$K$1:$M$4,2,0))</f>
        <v>1.9151785714285714</v>
      </c>
      <c r="AW46" s="127">
        <f t="shared" si="29"/>
        <v>3.5714285714285716</v>
      </c>
      <c r="AX46" s="127">
        <f t="shared" si="30"/>
        <v>5.4866071428571432</v>
      </c>
      <c r="AY46" s="128">
        <f t="shared" si="31"/>
        <v>2.0464660903599423</v>
      </c>
      <c r="AZ46" s="130">
        <f>+IF($O46&gt;K$8,"FIN",(K$16-SUM(BA$25:BA45))*VLOOKUP($O46,$A:$N,11,0)/VLOOKUP(K$13,$K$1:$M$4,2,0))</f>
        <v>1.7678571428571428</v>
      </c>
      <c r="BA46" s="127">
        <f t="shared" si="32"/>
        <v>3.5714285714285716</v>
      </c>
      <c r="BB46" s="127">
        <f t="shared" si="33"/>
        <v>5.3392857142857144</v>
      </c>
      <c r="BC46" s="128">
        <f t="shared" si="34"/>
        <v>1.9915162278848584</v>
      </c>
      <c r="BD46" s="130">
        <f>+IF($O46&gt;L$8,"FIN",(L$16-SUM(BE$25:BE45))*VLOOKUP($O46,$A:$N,12,0)/VLOOKUP(L$13,$K$1:$M$4,2,0))</f>
        <v>1.7636363636363637</v>
      </c>
      <c r="BE46" s="127">
        <f t="shared" si="35"/>
        <v>2.2045454545454546</v>
      </c>
      <c r="BF46" s="127">
        <f t="shared" si="36"/>
        <v>3.9681818181818183</v>
      </c>
      <c r="BG46" s="128">
        <f t="shared" si="37"/>
        <v>1.4801040642875487</v>
      </c>
      <c r="BH46" s="130">
        <f>+IF($O46&gt;M$8,"FIN",(M$16-SUM(BI$25:BI45))*VLOOKUP($O46,$A:$N,13,0)/VLOOKUP(M$13,$K$1:$M$4,2,0))</f>
        <v>1.4550000000000001</v>
      </c>
      <c r="BI46" s="127">
        <f t="shared" si="38"/>
        <v>2.2045454545454546</v>
      </c>
      <c r="BJ46" s="127">
        <f t="shared" si="39"/>
        <v>3.6595454545454547</v>
      </c>
      <c r="BK46" s="128">
        <f t="shared" si="40"/>
        <v>1.3649848592874061</v>
      </c>
      <c r="BL46" s="124"/>
      <c r="BM46" s="130"/>
      <c r="BN46" s="127"/>
      <c r="BO46" s="127"/>
      <c r="BP46" s="130"/>
      <c r="BQ46" s="127"/>
      <c r="BR46" s="128"/>
      <c r="BS46" s="130"/>
      <c r="BT46" s="127"/>
      <c r="BU46" s="127"/>
      <c r="BV46" s="130"/>
      <c r="BW46" s="127"/>
      <c r="BX46" s="128"/>
      <c r="BY46" s="130">
        <f>+IF($O46&gt;F$8,"FIN",(F$19-SUM(BZ$25:BZ45))*VLOOKUP($O46,$A:$N,6,0)/VLOOKUP(F$13,$K$1:$M$4,2,0))</f>
        <v>502.24194100000005</v>
      </c>
      <c r="BZ46" s="131">
        <f t="shared" si="61"/>
        <v>2008.9677640000002</v>
      </c>
      <c r="CA46" s="128">
        <f t="shared" si="45"/>
        <v>2511.2097050000002</v>
      </c>
      <c r="CB46" s="130">
        <f>+IF($O46&gt;G$8,"FIN",(G$19-SUM(CC$25:CC45))*VLOOKUP($O46,$A:$N,7,0)/VLOOKUP(G$13,$K$1:$M$4,2,0))</f>
        <v>47.040070829247036</v>
      </c>
      <c r="CC46" s="131">
        <f t="shared" si="62"/>
        <v>235.20035414623516</v>
      </c>
      <c r="CD46" s="128">
        <f t="shared" si="46"/>
        <v>282.2404249754822</v>
      </c>
      <c r="CE46" s="130">
        <f>+IF($O46&gt;H$8,"FIN",(H$19-SUM(CF$25:CF45))*VLOOKUP($O46,$A:$N,8,0)/VLOOKUP(H$13,$K$1:$M$4,2,0))</f>
        <v>86.803317340909103</v>
      </c>
      <c r="CF46" s="127">
        <f t="shared" si="63"/>
        <v>231.4755129090909</v>
      </c>
      <c r="CG46" s="128">
        <f t="shared" si="47"/>
        <v>318.27883025</v>
      </c>
      <c r="CH46" s="130">
        <f>+IF($O46&gt;I$8,"FIN",(I$19-SUM(CI$25:CI45))*VLOOKUP($O46,$A:$N,9,0)/VLOOKUP(I$13,$K$1:$M$4,2,0))</f>
        <v>83.585738187784102</v>
      </c>
      <c r="CI46" s="131">
        <f t="shared" si="64"/>
        <v>262.22976686363637</v>
      </c>
      <c r="CJ46" s="128">
        <f t="shared" si="48"/>
        <v>345.81550505142047</v>
      </c>
      <c r="CK46" s="130">
        <f>+IF($O46&gt;J$8,"FIN",(J$19-SUM(CL$25:CL45))*VLOOKUP($O46,$A:$N,10,0)/VLOOKUP(J$13,$K$1:$M$4,2,0))</f>
        <v>96.402411737008933</v>
      </c>
      <c r="CL46" s="131">
        <f t="shared" si="65"/>
        <v>179.77139717857145</v>
      </c>
      <c r="CM46" s="128">
        <f t="shared" si="49"/>
        <v>276.17380891558037</v>
      </c>
      <c r="CN46" s="130">
        <f>+IF($O46&gt;K$8,"FIN",(K$19-SUM(CO$25:CO45))*VLOOKUP($O46,$A:$N,11,0)/VLOOKUP(K$13,$K$1:$M$4,2,0))</f>
        <v>114.43733691107141</v>
      </c>
      <c r="CO46" s="131">
        <f t="shared" si="66"/>
        <v>231.18653921428569</v>
      </c>
      <c r="CP46" s="128">
        <f t="shared" si="50"/>
        <v>345.62387612535713</v>
      </c>
      <c r="CQ46" s="130">
        <f>+IF($O46&gt;L$8,"FIN",(L$19-SUM(CR$25:CR45))*VLOOKUP($O46,$A:$N,12,0)/VLOOKUP(L$13,$K$1:$M$4,2,0))</f>
        <v>0</v>
      </c>
      <c r="CR46" s="127">
        <f t="shared" si="67"/>
        <v>0</v>
      </c>
      <c r="CS46" s="128">
        <f t="shared" si="51"/>
        <v>0</v>
      </c>
      <c r="CT46" s="130">
        <f>+IF($O46&gt;M$8,"FIN",(M$19-SUM(CU$25:CU45))*VLOOKUP($O46,$A:$N,13,0)/VLOOKUP(M$13,$K$1:$M$4,2,0))</f>
        <v>0</v>
      </c>
      <c r="CU46" s="127">
        <f t="shared" si="68"/>
        <v>0</v>
      </c>
      <c r="CV46" s="128">
        <f t="shared" si="52"/>
        <v>0</v>
      </c>
      <c r="CX46" s="130">
        <f t="shared" si="69"/>
        <v>973.65553310050132</v>
      </c>
      <c r="CY46" s="127">
        <f t="shared" si="70"/>
        <v>3277.1083118909755</v>
      </c>
      <c r="CZ46" s="128">
        <f t="shared" si="71"/>
        <v>4250.7638449914766</v>
      </c>
      <c r="DA46" s="224">
        <f t="shared" si="72"/>
        <v>10.347222222222221</v>
      </c>
      <c r="DB46" s="225">
        <f t="shared" si="3"/>
        <v>33908.967949427453</v>
      </c>
    </row>
    <row r="47" spans="1:106" s="16" customFormat="1" x14ac:dyDescent="0.25">
      <c r="A47" s="125">
        <f t="shared" si="53"/>
        <v>48038</v>
      </c>
      <c r="B47" s="134"/>
      <c r="C47" s="135"/>
      <c r="D47" s="136"/>
      <c r="E47" s="136"/>
      <c r="F47" s="136">
        <v>0.05</v>
      </c>
      <c r="G47" s="136">
        <v>0.04</v>
      </c>
      <c r="H47" s="136">
        <v>0.05</v>
      </c>
      <c r="I47" s="136">
        <v>4.2500000000000003E-2</v>
      </c>
      <c r="J47" s="136">
        <v>4.8750000000000002E-2</v>
      </c>
      <c r="K47" s="136">
        <v>4.4999999999999998E-2</v>
      </c>
      <c r="L47" s="136">
        <v>0.05</v>
      </c>
      <c r="M47" s="137">
        <v>4.1250000000000002E-2</v>
      </c>
      <c r="N47" s="124">
        <f t="shared" si="4"/>
        <v>2031</v>
      </c>
      <c r="O47" s="126">
        <f t="shared" si="54"/>
        <v>48038</v>
      </c>
      <c r="P47" s="130"/>
      <c r="Q47" s="127"/>
      <c r="R47" s="127"/>
      <c r="S47" s="128"/>
      <c r="T47" s="130"/>
      <c r="U47" s="127"/>
      <c r="V47" s="127"/>
      <c r="W47" s="128"/>
      <c r="X47" s="130"/>
      <c r="Y47" s="127"/>
      <c r="Z47" s="127"/>
      <c r="AA47" s="128"/>
      <c r="AB47" s="130"/>
      <c r="AC47" s="127"/>
      <c r="AD47" s="127"/>
      <c r="AE47" s="128"/>
      <c r="AF47" s="130">
        <f>+IF($O47&gt;F$8,"FIN",(F$16-SUM(AG$25:AG46))*VLOOKUP($O47,$A:$N,6,0)/VLOOKUP(F$13,$K$1:$M$4,2,0))</f>
        <v>2.1825000000000001</v>
      </c>
      <c r="AG47" s="127">
        <f t="shared" si="17"/>
        <v>9.6999999999999993</v>
      </c>
      <c r="AH47" s="127">
        <f t="shared" si="18"/>
        <v>11.8825</v>
      </c>
      <c r="AI47" s="128">
        <f t="shared" si="19"/>
        <v>4.2258314279462121</v>
      </c>
      <c r="AJ47" s="130">
        <f>+IF($O47&gt;G$8,"FIN",(G$16-SUM(AK$25:AK46))*VLOOKUP($O47,$A:$N,7,0)/VLOOKUP(G$13,$K$1:$M$4,2,0))</f>
        <v>1.746</v>
      </c>
      <c r="AK47" s="127">
        <f t="shared" si="20"/>
        <v>9.6999999999999993</v>
      </c>
      <c r="AL47" s="127">
        <f t="shared" si="21"/>
        <v>11.446</v>
      </c>
      <c r="AM47" s="128">
        <f t="shared" si="22"/>
        <v>4.0705968040624736</v>
      </c>
      <c r="AN47" s="130">
        <f>+IF($O47&gt;H$8,"FIN",(H$16-SUM(AO$25:AO46))*VLOOKUP($O47,$A:$N,8,0)/VLOOKUP(H$13,$K$1:$M$4,2,0))</f>
        <v>1.5909090909090908</v>
      </c>
      <c r="AO47" s="127">
        <f t="shared" si="23"/>
        <v>4.5454545454545459</v>
      </c>
      <c r="AP47" s="127">
        <f t="shared" si="24"/>
        <v>6.1363636363636367</v>
      </c>
      <c r="AQ47" s="128">
        <f t="shared" si="25"/>
        <v>2.1823049280750482</v>
      </c>
      <c r="AR47" s="130">
        <f>+IF($O47&gt;I$8,"FIN",(I$16-SUM(AS$25:AS46))*VLOOKUP($O47,$A:$N,9,0)/VLOOKUP(I$13,$K$1:$M$4,2,0))</f>
        <v>1.3522727272727273</v>
      </c>
      <c r="AS47" s="127">
        <f t="shared" si="26"/>
        <v>4.5454545454545459</v>
      </c>
      <c r="AT47" s="127">
        <f t="shared" si="27"/>
        <v>5.8977272727272734</v>
      </c>
      <c r="AU47" s="128">
        <f t="shared" si="28"/>
        <v>2.0974375142054629</v>
      </c>
      <c r="AV47" s="130">
        <f>+IF($O47&gt;J$8,"FIN",(J$16-SUM(AW$25:AW46))*VLOOKUP($O47,$A:$N,10,0)/VLOOKUP(J$13,$K$1:$M$4,2,0))</f>
        <v>1.828125</v>
      </c>
      <c r="AW47" s="127">
        <f t="shared" si="29"/>
        <v>3.5714285714285716</v>
      </c>
      <c r="AX47" s="127">
        <f t="shared" si="30"/>
        <v>5.3995535714285712</v>
      </c>
      <c r="AY47" s="128">
        <f t="shared" si="31"/>
        <v>1.9202695711358777</v>
      </c>
      <c r="AZ47" s="130">
        <f>+IF($O47&gt;K$8,"FIN",(K$16-SUM(BA$25:BA46))*VLOOKUP($O47,$A:$N,11,0)/VLOOKUP(K$13,$K$1:$M$4,2,0))</f>
        <v>1.6875</v>
      </c>
      <c r="BA47" s="127">
        <f t="shared" si="32"/>
        <v>3.5714285714285716</v>
      </c>
      <c r="BB47" s="127">
        <f t="shared" si="33"/>
        <v>5.2589285714285712</v>
      </c>
      <c r="BC47" s="128">
        <f t="shared" si="34"/>
        <v>1.870258416534158</v>
      </c>
      <c r="BD47" s="130">
        <f>+IF($O47&gt;L$8,"FIN",(L$16-SUM(BE$25:BE46))*VLOOKUP($O47,$A:$N,12,0)/VLOOKUP(L$13,$K$1:$M$4,2,0))</f>
        <v>1.7085227272727275</v>
      </c>
      <c r="BE47" s="127">
        <f t="shared" si="35"/>
        <v>2.2045454545454546</v>
      </c>
      <c r="BF47" s="127">
        <f t="shared" si="36"/>
        <v>3.9130681818181818</v>
      </c>
      <c r="BG47" s="128">
        <f t="shared" si="37"/>
        <v>1.391623522190079</v>
      </c>
      <c r="BH47" s="130">
        <f>+IF($O47&gt;M$8,"FIN",(M$16-SUM(BI$25:BI46))*VLOOKUP($O47,$A:$N,13,0)/VLOOKUP(M$13,$K$1:$M$4,2,0))</f>
        <v>1.4095312500000001</v>
      </c>
      <c r="BI47" s="127">
        <f t="shared" si="38"/>
        <v>2.2045454545454546</v>
      </c>
      <c r="BJ47" s="127">
        <f t="shared" si="39"/>
        <v>3.6140767045454547</v>
      </c>
      <c r="BK47" s="128">
        <f t="shared" si="40"/>
        <v>1.2852917248959781</v>
      </c>
      <c r="BL47" s="124"/>
      <c r="BM47" s="130"/>
      <c r="BN47" s="127"/>
      <c r="BO47" s="127"/>
      <c r="BP47" s="130"/>
      <c r="BQ47" s="127"/>
      <c r="BR47" s="128"/>
      <c r="BS47" s="130"/>
      <c r="BT47" s="127"/>
      <c r="BU47" s="127"/>
      <c r="BV47" s="130"/>
      <c r="BW47" s="127"/>
      <c r="BX47" s="128"/>
      <c r="BY47" s="130">
        <f>+IF($O47&gt;F$8,"FIN",(F$19-SUM(BZ$25:BZ46))*VLOOKUP($O47,$A:$N,6,0)/VLOOKUP(F$13,$K$1:$M$4,2,0))</f>
        <v>452.01774690000002</v>
      </c>
      <c r="BZ47" s="131">
        <f t="shared" si="61"/>
        <v>2008.9677640000002</v>
      </c>
      <c r="CA47" s="128">
        <f t="shared" si="45"/>
        <v>2460.9855109</v>
      </c>
      <c r="CB47" s="130">
        <f>+IF($O47&gt;G$8,"FIN",(G$19-SUM(CC$25:CC46))*VLOOKUP($O47,$A:$N,7,0)/VLOOKUP(G$13,$K$1:$M$4,2,0))</f>
        <v>42.336063746322331</v>
      </c>
      <c r="CC47" s="131">
        <f t="shared" si="62"/>
        <v>235.20035414623516</v>
      </c>
      <c r="CD47" s="128">
        <f t="shared" si="46"/>
        <v>277.53641789255749</v>
      </c>
      <c r="CE47" s="130">
        <f>+IF($O47&gt;H$8,"FIN",(H$19-SUM(CF$25:CF46))*VLOOKUP($O47,$A:$N,8,0)/VLOOKUP(H$13,$K$1:$M$4,2,0))</f>
        <v>81.016429518181837</v>
      </c>
      <c r="CF47" s="127">
        <f t="shared" si="63"/>
        <v>231.4755129090909</v>
      </c>
      <c r="CG47" s="128">
        <f t="shared" si="47"/>
        <v>312.49194242727276</v>
      </c>
      <c r="CH47" s="130">
        <f>+IF($O47&gt;I$8,"FIN",(I$19-SUM(CI$25:CI46))*VLOOKUP($O47,$A:$N,9,0)/VLOOKUP(I$13,$K$1:$M$4,2,0))</f>
        <v>78.013355641931824</v>
      </c>
      <c r="CI47" s="131">
        <f t="shared" si="64"/>
        <v>262.22976686363637</v>
      </c>
      <c r="CJ47" s="128">
        <f t="shared" si="48"/>
        <v>340.24312250556818</v>
      </c>
      <c r="CK47" s="130">
        <f>+IF($O47&gt;J$8,"FIN",(J$19-SUM(CL$25:CL46))*VLOOKUP($O47,$A:$N,10,0)/VLOOKUP(J$13,$K$1:$M$4,2,0))</f>
        <v>92.020483930781253</v>
      </c>
      <c r="CL47" s="131">
        <f t="shared" si="65"/>
        <v>179.77139717857145</v>
      </c>
      <c r="CM47" s="128">
        <f t="shared" si="49"/>
        <v>271.79188110935269</v>
      </c>
      <c r="CN47" s="130">
        <f>+IF($O47&gt;K$8,"FIN",(K$19-SUM(CO$25:CO46))*VLOOKUP($O47,$A:$N,11,0)/VLOOKUP(K$13,$K$1:$M$4,2,0))</f>
        <v>109.23563977875</v>
      </c>
      <c r="CO47" s="131">
        <f t="shared" si="66"/>
        <v>231.18653921428569</v>
      </c>
      <c r="CP47" s="128">
        <f t="shared" si="50"/>
        <v>340.42217899303569</v>
      </c>
      <c r="CQ47" s="130">
        <f>+IF($O47&gt;L$8,"FIN",(L$19-SUM(CR$25:CR46))*VLOOKUP($O47,$A:$N,12,0)/VLOOKUP(L$13,$K$1:$M$4,2,0))</f>
        <v>0</v>
      </c>
      <c r="CR47" s="127">
        <f t="shared" si="67"/>
        <v>0</v>
      </c>
      <c r="CS47" s="128">
        <f t="shared" si="51"/>
        <v>0</v>
      </c>
      <c r="CT47" s="130">
        <f>+IF($O47&gt;M$8,"FIN",(M$19-SUM(CU$25:CU46))*VLOOKUP($O47,$A:$N,13,0)/VLOOKUP(M$13,$K$1:$M$4,2,0))</f>
        <v>0</v>
      </c>
      <c r="CU47" s="127">
        <f t="shared" si="68"/>
        <v>0</v>
      </c>
      <c r="CV47" s="128">
        <f t="shared" si="52"/>
        <v>0</v>
      </c>
      <c r="CX47" s="130">
        <f t="shared" si="69"/>
        <v>895.05943415468369</v>
      </c>
      <c r="CY47" s="127">
        <f t="shared" si="70"/>
        <v>3277.1083118909755</v>
      </c>
      <c r="CZ47" s="128">
        <f t="shared" si="71"/>
        <v>4172.1677460456594</v>
      </c>
      <c r="DA47" s="224">
        <f t="shared" si="72"/>
        <v>10.847222222222221</v>
      </c>
      <c r="DB47" s="225">
        <f t="shared" si="3"/>
        <v>35547.52210537294</v>
      </c>
    </row>
    <row r="48" spans="1:106" s="16" customFormat="1" x14ac:dyDescent="0.25">
      <c r="A48" s="125">
        <f t="shared" si="53"/>
        <v>48222</v>
      </c>
      <c r="B48" s="134"/>
      <c r="C48" s="135"/>
      <c r="D48" s="136"/>
      <c r="E48" s="136"/>
      <c r="F48" s="136">
        <v>0.05</v>
      </c>
      <c r="G48" s="136">
        <v>0.04</v>
      </c>
      <c r="H48" s="136">
        <v>0.05</v>
      </c>
      <c r="I48" s="136">
        <v>4.2500000000000003E-2</v>
      </c>
      <c r="J48" s="136">
        <v>4.8750000000000002E-2</v>
      </c>
      <c r="K48" s="136">
        <v>4.4999999999999998E-2</v>
      </c>
      <c r="L48" s="136">
        <v>0.05</v>
      </c>
      <c r="M48" s="137">
        <v>4.1250000000000002E-2</v>
      </c>
      <c r="N48" s="124">
        <f t="shared" si="4"/>
        <v>2032</v>
      </c>
      <c r="O48" s="126">
        <f t="shared" si="54"/>
        <v>48222</v>
      </c>
      <c r="P48" s="130"/>
      <c r="Q48" s="127"/>
      <c r="R48" s="127"/>
      <c r="S48" s="128"/>
      <c r="T48" s="130"/>
      <c r="U48" s="127"/>
      <c r="V48" s="127"/>
      <c r="W48" s="128"/>
      <c r="X48" s="130"/>
      <c r="Y48" s="127"/>
      <c r="Z48" s="127"/>
      <c r="AA48" s="128"/>
      <c r="AB48" s="130"/>
      <c r="AC48" s="127"/>
      <c r="AD48" s="127"/>
      <c r="AE48" s="128"/>
      <c r="AF48" s="130">
        <f>+IF($O48&gt;F$8,"FIN",(F$16-SUM(AG$25:AG47))*VLOOKUP($O48,$A:$N,6,0)/VLOOKUP(F$13,$K$1:$M$4,2,0))</f>
        <v>1.94</v>
      </c>
      <c r="AG48" s="127">
        <f t="shared" si="17"/>
        <v>9.6999999999999993</v>
      </c>
      <c r="AH48" s="127">
        <f t="shared" si="18"/>
        <v>11.639999999999999</v>
      </c>
      <c r="AI48" s="128">
        <f t="shared" si="19"/>
        <v>3.9469441714334632</v>
      </c>
      <c r="AJ48" s="130">
        <f>+IF($O48&gt;G$8,"FIN",(G$16-SUM(AK$25:AK47))*VLOOKUP($O48,$A:$N,7,0)/VLOOKUP(G$13,$K$1:$M$4,2,0))</f>
        <v>1.5519999999999998</v>
      </c>
      <c r="AK48" s="127">
        <f t="shared" si="20"/>
        <v>9.6999999999999993</v>
      </c>
      <c r="AL48" s="127">
        <f t="shared" si="21"/>
        <v>11.251999999999999</v>
      </c>
      <c r="AM48" s="128">
        <f t="shared" si="22"/>
        <v>3.8153793657190143</v>
      </c>
      <c r="AN48" s="130">
        <f>+IF($O48&gt;H$8,"FIN",(H$16-SUM(AO$25:AO47))*VLOOKUP($O48,$A:$N,8,0)/VLOOKUP(H$13,$K$1:$M$4,2,0))</f>
        <v>1.4772727272727273</v>
      </c>
      <c r="AO48" s="127">
        <f t="shared" si="23"/>
        <v>4.5454545454545459</v>
      </c>
      <c r="AP48" s="127">
        <f t="shared" si="24"/>
        <v>6.0227272727272734</v>
      </c>
      <c r="AQ48" s="128">
        <f t="shared" si="25"/>
        <v>2.0422137719264839</v>
      </c>
      <c r="AR48" s="130">
        <f>+IF($O48&gt;I$8,"FIN",(I$16-SUM(AS$25:AS47))*VLOOKUP($O48,$A:$N,9,0)/VLOOKUP(I$13,$K$1:$M$4,2,0))</f>
        <v>1.2556818181818181</v>
      </c>
      <c r="AS48" s="127">
        <f t="shared" si="26"/>
        <v>4.5454545454545459</v>
      </c>
      <c r="AT48" s="127">
        <f t="shared" si="27"/>
        <v>5.8011363636363642</v>
      </c>
      <c r="AU48" s="128">
        <f t="shared" si="28"/>
        <v>1.9670757180537171</v>
      </c>
      <c r="AV48" s="130">
        <f>+IF($O48&gt;J$8,"FIN",(J$16-SUM(AW$25:AW47))*VLOOKUP($O48,$A:$N,10,0)/VLOOKUP(J$13,$K$1:$M$4,2,0))</f>
        <v>1.7410714285714284</v>
      </c>
      <c r="AW48" s="127">
        <f t="shared" si="29"/>
        <v>3.5714285714285716</v>
      </c>
      <c r="AX48" s="127">
        <f t="shared" si="30"/>
        <v>5.3125</v>
      </c>
      <c r="AY48" s="128">
        <f t="shared" si="31"/>
        <v>1.801386676180436</v>
      </c>
      <c r="AZ48" s="130">
        <f>+IF($O48&gt;K$8,"FIN",(K$16-SUM(BA$25:BA47))*VLOOKUP($O48,$A:$N,11,0)/VLOOKUP(K$13,$K$1:$M$4,2,0))</f>
        <v>1.6071428571428568</v>
      </c>
      <c r="BA48" s="127">
        <f t="shared" si="32"/>
        <v>3.5714285714285716</v>
      </c>
      <c r="BB48" s="127">
        <f t="shared" si="33"/>
        <v>5.1785714285714288</v>
      </c>
      <c r="BC48" s="128">
        <f t="shared" si="34"/>
        <v>1.7559735666968956</v>
      </c>
      <c r="BD48" s="130">
        <f>+IF($O48&gt;L$8,"FIN",(L$16-SUM(BE$25:BE47))*VLOOKUP($O48,$A:$N,12,0)/VLOOKUP(L$13,$K$1:$M$4,2,0))</f>
        <v>1.6534090909090911</v>
      </c>
      <c r="BE48" s="127">
        <f t="shared" si="35"/>
        <v>2.2045454545454546</v>
      </c>
      <c r="BF48" s="127">
        <f t="shared" si="36"/>
        <v>3.8579545454545459</v>
      </c>
      <c r="BG48" s="128">
        <f t="shared" si="37"/>
        <v>1.3081727840925306</v>
      </c>
      <c r="BH48" s="130">
        <f>+IF($O48&gt;M$8,"FIN",(M$16-SUM(BI$25:BI47))*VLOOKUP($O48,$A:$N,13,0)/VLOOKUP(M$13,$K$1:$M$4,2,0))</f>
        <v>1.3640625000000002</v>
      </c>
      <c r="BI48" s="127">
        <f t="shared" si="38"/>
        <v>2.2045454545454546</v>
      </c>
      <c r="BJ48" s="127">
        <f t="shared" si="39"/>
        <v>3.5686079545454548</v>
      </c>
      <c r="BK48" s="128">
        <f t="shared" si="40"/>
        <v>1.2100598252855908</v>
      </c>
      <c r="BL48" s="124"/>
      <c r="BM48" s="130"/>
      <c r="BN48" s="127"/>
      <c r="BO48" s="127"/>
      <c r="BP48" s="130"/>
      <c r="BQ48" s="127"/>
      <c r="BR48" s="128"/>
      <c r="BS48" s="130"/>
      <c r="BT48" s="127"/>
      <c r="BU48" s="127"/>
      <c r="BV48" s="130"/>
      <c r="BW48" s="127"/>
      <c r="BX48" s="128"/>
      <c r="BY48" s="130">
        <f>+IF($O48&gt;F$8,"FIN",(F$19-SUM(BZ$25:BZ47))*VLOOKUP($O48,$A:$N,6,0)/VLOOKUP(F$13,$K$1:$M$4,2,0))</f>
        <v>401.79355280000004</v>
      </c>
      <c r="BZ48" s="131">
        <f t="shared" si="61"/>
        <v>2008.9677640000002</v>
      </c>
      <c r="CA48" s="128">
        <f t="shared" si="45"/>
        <v>2410.7613168000003</v>
      </c>
      <c r="CB48" s="130">
        <f>+IF($O48&gt;G$8,"FIN",(G$19-SUM(CC$25:CC47))*VLOOKUP($O48,$A:$N,7,0)/VLOOKUP(G$13,$K$1:$M$4,2,0))</f>
        <v>37.632056663397627</v>
      </c>
      <c r="CC48" s="131">
        <f t="shared" si="62"/>
        <v>235.20035414623516</v>
      </c>
      <c r="CD48" s="128">
        <f t="shared" si="46"/>
        <v>272.83241080963279</v>
      </c>
      <c r="CE48" s="130">
        <f>+IF($O48&gt;H$8,"FIN",(H$19-SUM(CF$25:CF47))*VLOOKUP($O48,$A:$N,8,0)/VLOOKUP(H$13,$K$1:$M$4,2,0))</f>
        <v>75.229541695454543</v>
      </c>
      <c r="CF48" s="127">
        <f t="shared" si="63"/>
        <v>231.4755129090909</v>
      </c>
      <c r="CG48" s="128">
        <f t="shared" si="47"/>
        <v>306.70505460454547</v>
      </c>
      <c r="CH48" s="130">
        <f>+IF($O48&gt;I$8,"FIN",(I$19-SUM(CI$25:CI47))*VLOOKUP($O48,$A:$N,9,0)/VLOOKUP(I$13,$K$1:$M$4,2,0))</f>
        <v>72.440973096079546</v>
      </c>
      <c r="CI48" s="131">
        <f t="shared" si="64"/>
        <v>262.22976686363637</v>
      </c>
      <c r="CJ48" s="128">
        <f t="shared" si="48"/>
        <v>334.67073995971589</v>
      </c>
      <c r="CK48" s="130">
        <f>+IF($O48&gt;J$8,"FIN",(J$19-SUM(CL$25:CL47))*VLOOKUP($O48,$A:$N,10,0)/VLOOKUP(J$13,$K$1:$M$4,2,0))</f>
        <v>87.638556124553574</v>
      </c>
      <c r="CL48" s="131">
        <f t="shared" si="65"/>
        <v>179.77139717857145</v>
      </c>
      <c r="CM48" s="128">
        <f t="shared" si="49"/>
        <v>267.40995330312501</v>
      </c>
      <c r="CN48" s="130">
        <f>+IF($O48&gt;K$8,"FIN",(K$19-SUM(CO$25:CO47))*VLOOKUP($O48,$A:$N,11,0)/VLOOKUP(K$13,$K$1:$M$4,2,0))</f>
        <v>104.03394264642857</v>
      </c>
      <c r="CO48" s="131">
        <f t="shared" si="66"/>
        <v>231.18653921428569</v>
      </c>
      <c r="CP48" s="128">
        <f t="shared" si="50"/>
        <v>335.22048186071424</v>
      </c>
      <c r="CQ48" s="130">
        <f>+IF($O48&gt;L$8,"FIN",(L$19-SUM(CR$25:CR47))*VLOOKUP($O48,$A:$N,12,0)/VLOOKUP(L$13,$K$1:$M$4,2,0))</f>
        <v>0</v>
      </c>
      <c r="CR48" s="127">
        <f t="shared" si="67"/>
        <v>0</v>
      </c>
      <c r="CS48" s="128">
        <f t="shared" si="51"/>
        <v>0</v>
      </c>
      <c r="CT48" s="130">
        <f>+IF($O48&gt;M$8,"FIN",(M$19-SUM(CU$25:CU47))*VLOOKUP($O48,$A:$N,13,0)/VLOOKUP(M$13,$K$1:$M$4,2,0))</f>
        <v>0</v>
      </c>
      <c r="CU48" s="127">
        <f t="shared" si="68"/>
        <v>0</v>
      </c>
      <c r="CV48" s="128">
        <f t="shared" si="52"/>
        <v>0</v>
      </c>
      <c r="CX48" s="130">
        <f t="shared" si="69"/>
        <v>816.46333520886606</v>
      </c>
      <c r="CY48" s="127">
        <f t="shared" si="70"/>
        <v>3277.1083118909755</v>
      </c>
      <c r="CZ48" s="128">
        <f t="shared" si="71"/>
        <v>4093.5716470998414</v>
      </c>
      <c r="DA48" s="224">
        <f t="shared" si="72"/>
        <v>11.347222222222221</v>
      </c>
      <c r="DB48" s="225">
        <f t="shared" si="3"/>
        <v>37186.076261318427</v>
      </c>
    </row>
    <row r="49" spans="1:106" s="16" customFormat="1" x14ac:dyDescent="0.25">
      <c r="A49" s="125">
        <f t="shared" si="53"/>
        <v>48404</v>
      </c>
      <c r="B49" s="134"/>
      <c r="C49" s="135"/>
      <c r="D49" s="136"/>
      <c r="E49" s="136"/>
      <c r="F49" s="136">
        <v>0.05</v>
      </c>
      <c r="G49" s="136">
        <v>0.04</v>
      </c>
      <c r="H49" s="136">
        <v>0.05</v>
      </c>
      <c r="I49" s="136">
        <v>4.2500000000000003E-2</v>
      </c>
      <c r="J49" s="136">
        <v>4.8750000000000002E-2</v>
      </c>
      <c r="K49" s="136">
        <v>4.4999999999999998E-2</v>
      </c>
      <c r="L49" s="136">
        <v>0.05</v>
      </c>
      <c r="M49" s="137">
        <v>4.1250000000000002E-2</v>
      </c>
      <c r="N49" s="124">
        <f t="shared" si="4"/>
        <v>2032</v>
      </c>
      <c r="O49" s="126">
        <f t="shared" si="54"/>
        <v>48404</v>
      </c>
      <c r="P49" s="130"/>
      <c r="Q49" s="127"/>
      <c r="R49" s="127"/>
      <c r="S49" s="128"/>
      <c r="T49" s="130"/>
      <c r="U49" s="127"/>
      <c r="V49" s="127"/>
      <c r="W49" s="128"/>
      <c r="X49" s="130"/>
      <c r="Y49" s="127"/>
      <c r="Z49" s="127"/>
      <c r="AA49" s="128"/>
      <c r="AB49" s="130"/>
      <c r="AC49" s="127"/>
      <c r="AD49" s="127"/>
      <c r="AE49" s="128"/>
      <c r="AF49" s="130">
        <f>+IF($O49&gt;F$8,"FIN",(F$16-SUM(AG$25:AG48))*VLOOKUP($O49,$A:$N,6,0)/VLOOKUP(F$13,$K$1:$M$4,2,0))</f>
        <v>1.6975000000000002</v>
      </c>
      <c r="AG49" s="127">
        <f t="shared" si="17"/>
        <v>9.6999999999999993</v>
      </c>
      <c r="AH49" s="127">
        <f t="shared" si="18"/>
        <v>11.397499999999999</v>
      </c>
      <c r="AI49" s="128">
        <f t="shared" si="19"/>
        <v>3.684862284108942</v>
      </c>
      <c r="AJ49" s="130">
        <f>+IF($O49&gt;G$8,"FIN",(G$16-SUM(AK$25:AK48))*VLOOKUP($O49,$A:$N,7,0)/VLOOKUP(G$13,$K$1:$M$4,2,0))</f>
        <v>1.3580000000000001</v>
      </c>
      <c r="AK49" s="127">
        <f t="shared" si="20"/>
        <v>9.6999999999999993</v>
      </c>
      <c r="AL49" s="127">
        <f t="shared" si="21"/>
        <v>11.058</v>
      </c>
      <c r="AM49" s="128">
        <f t="shared" si="22"/>
        <v>3.575100428837612</v>
      </c>
      <c r="AN49" s="130">
        <f>+IF($O49&gt;H$8,"FIN",(H$16-SUM(AO$25:AO48))*VLOOKUP($O49,$A:$N,8,0)/VLOOKUP(H$13,$K$1:$M$4,2,0))</f>
        <v>1.3636363636363635</v>
      </c>
      <c r="AO49" s="127">
        <f t="shared" si="23"/>
        <v>4.5454545454545459</v>
      </c>
      <c r="AP49" s="127">
        <f t="shared" si="24"/>
        <v>5.9090909090909092</v>
      </c>
      <c r="AQ49" s="128">
        <f t="shared" si="25"/>
        <v>1.9104352905707491</v>
      </c>
      <c r="AR49" s="130">
        <f>+IF($O49&gt;I$8,"FIN",(I$16-SUM(AS$25:AS48))*VLOOKUP($O49,$A:$N,9,0)/VLOOKUP(I$13,$K$1:$M$4,2,0))</f>
        <v>1.1590909090909089</v>
      </c>
      <c r="AS49" s="127">
        <f t="shared" si="26"/>
        <v>4.5454545454545459</v>
      </c>
      <c r="AT49" s="127">
        <f t="shared" si="27"/>
        <v>5.704545454545455</v>
      </c>
      <c r="AU49" s="128">
        <f t="shared" si="28"/>
        <v>1.8443048382048388</v>
      </c>
      <c r="AV49" s="130">
        <f>+IF($O49&gt;J$8,"FIN",(J$16-SUM(AW$25:AW48))*VLOOKUP($O49,$A:$N,10,0)/VLOOKUP(J$13,$K$1:$M$4,2,0))</f>
        <v>1.6540178571428572</v>
      </c>
      <c r="AW49" s="127">
        <f t="shared" si="29"/>
        <v>3.5714285714285716</v>
      </c>
      <c r="AX49" s="127">
        <f t="shared" si="30"/>
        <v>5.2254464285714288</v>
      </c>
      <c r="AY49" s="128">
        <f t="shared" si="31"/>
        <v>1.6894099988834945</v>
      </c>
      <c r="AZ49" s="130">
        <f>+IF($O49&gt;K$8,"FIN",(K$16-SUM(BA$25:BA48))*VLOOKUP($O49,$A:$N,11,0)/VLOOKUP(K$13,$K$1:$M$4,2,0))</f>
        <v>1.5267857142857144</v>
      </c>
      <c r="BA49" s="127">
        <f t="shared" si="32"/>
        <v>3.5714285714285716</v>
      </c>
      <c r="BB49" s="127">
        <f t="shared" si="33"/>
        <v>5.0982142857142865</v>
      </c>
      <c r="BC49" s="128">
        <f t="shared" si="34"/>
        <v>1.6482752829773182</v>
      </c>
      <c r="BD49" s="130">
        <f>+IF($O49&gt;L$8,"FIN",(L$16-SUM(BE$25:BE48))*VLOOKUP($O49,$A:$N,12,0)/VLOOKUP(L$13,$K$1:$M$4,2,0))</f>
        <v>1.5982954545454549</v>
      </c>
      <c r="BE49" s="127">
        <f t="shared" si="35"/>
        <v>2.2045454545454546</v>
      </c>
      <c r="BF49" s="127">
        <f t="shared" si="36"/>
        <v>3.8028409090909094</v>
      </c>
      <c r="BG49" s="128">
        <f t="shared" si="37"/>
        <v>1.2294753269028871</v>
      </c>
      <c r="BH49" s="130">
        <f>+IF($O49&gt;M$8,"FIN",(M$16-SUM(BI$25:BI48))*VLOOKUP($O49,$A:$N,13,0)/VLOOKUP(M$13,$K$1:$M$4,2,0))</f>
        <v>1.3185937500000002</v>
      </c>
      <c r="BI49" s="127">
        <f t="shared" si="38"/>
        <v>2.2045454545454546</v>
      </c>
      <c r="BJ49" s="127">
        <f t="shared" si="39"/>
        <v>3.5231392045454548</v>
      </c>
      <c r="BK49" s="128">
        <f t="shared" si="40"/>
        <v>1.1390465256850297</v>
      </c>
      <c r="BL49" s="124"/>
      <c r="BM49" s="130"/>
      <c r="BN49" s="127"/>
      <c r="BO49" s="127"/>
      <c r="BP49" s="130"/>
      <c r="BQ49" s="127"/>
      <c r="BR49" s="128"/>
      <c r="BS49" s="130"/>
      <c r="BT49" s="127"/>
      <c r="BU49" s="127"/>
      <c r="BV49" s="130"/>
      <c r="BW49" s="127"/>
      <c r="BX49" s="128"/>
      <c r="BY49" s="130">
        <f>+IF($O49&gt;F$8,"FIN",(F$19-SUM(BZ$25:BZ48))*VLOOKUP($O49,$A:$N,6,0)/VLOOKUP(F$13,$K$1:$M$4,2,0))</f>
        <v>351.56935870000007</v>
      </c>
      <c r="BZ49" s="131">
        <f t="shared" si="61"/>
        <v>2008.9677640000002</v>
      </c>
      <c r="CA49" s="128">
        <f t="shared" si="45"/>
        <v>2360.5371227000005</v>
      </c>
      <c r="CB49" s="130">
        <f>+IF($O49&gt;G$8,"FIN",(G$19-SUM(CC$25:CC48))*VLOOKUP($O49,$A:$N,7,0)/VLOOKUP(G$13,$K$1:$M$4,2,0))</f>
        <v>32.928049580472923</v>
      </c>
      <c r="CC49" s="131">
        <f t="shared" si="62"/>
        <v>235.20035414623516</v>
      </c>
      <c r="CD49" s="128">
        <f t="shared" si="46"/>
        <v>268.12840372670809</v>
      </c>
      <c r="CE49" s="130">
        <f>+IF($O49&gt;H$8,"FIN",(H$19-SUM(CF$25:CF48))*VLOOKUP($O49,$A:$N,8,0)/VLOOKUP(H$13,$K$1:$M$4,2,0))</f>
        <v>69.442653872727277</v>
      </c>
      <c r="CF49" s="127">
        <f t="shared" si="63"/>
        <v>231.4755129090909</v>
      </c>
      <c r="CG49" s="128">
        <f t="shared" si="47"/>
        <v>300.91816678181817</v>
      </c>
      <c r="CH49" s="130">
        <f>+IF($O49&gt;I$8,"FIN",(I$19-SUM(CI$25:CI48))*VLOOKUP($O49,$A:$N,9,0)/VLOOKUP(I$13,$K$1:$M$4,2,0))</f>
        <v>66.868590550227267</v>
      </c>
      <c r="CI49" s="131">
        <f t="shared" si="64"/>
        <v>262.22976686363637</v>
      </c>
      <c r="CJ49" s="128">
        <f t="shared" si="48"/>
        <v>329.09835741386365</v>
      </c>
      <c r="CK49" s="130">
        <f>+IF($O49&gt;J$8,"FIN",(J$19-SUM(CL$25:CL48))*VLOOKUP($O49,$A:$N,10,0)/VLOOKUP(J$13,$K$1:$M$4,2,0))</f>
        <v>83.256628318325895</v>
      </c>
      <c r="CL49" s="131">
        <f t="shared" si="65"/>
        <v>179.77139717857145</v>
      </c>
      <c r="CM49" s="128">
        <f t="shared" si="49"/>
        <v>263.02802549689733</v>
      </c>
      <c r="CN49" s="130">
        <f>+IF($O49&gt;K$8,"FIN",(K$19-SUM(CO$25:CO48))*VLOOKUP($O49,$A:$N,11,0)/VLOOKUP(K$13,$K$1:$M$4,2,0))</f>
        <v>98.832245514107143</v>
      </c>
      <c r="CO49" s="131">
        <f t="shared" si="66"/>
        <v>231.18653921428569</v>
      </c>
      <c r="CP49" s="128">
        <f t="shared" si="50"/>
        <v>330.0187847283928</v>
      </c>
      <c r="CQ49" s="130">
        <f>+IF($O49&gt;L$8,"FIN",(L$19-SUM(CR$25:CR48))*VLOOKUP($O49,$A:$N,12,0)/VLOOKUP(L$13,$K$1:$M$4,2,0))</f>
        <v>0</v>
      </c>
      <c r="CR49" s="127">
        <f t="shared" si="67"/>
        <v>0</v>
      </c>
      <c r="CS49" s="128">
        <f t="shared" si="51"/>
        <v>0</v>
      </c>
      <c r="CT49" s="130">
        <f>+IF($O49&gt;M$8,"FIN",(M$19-SUM(CU$25:CU48))*VLOOKUP($O49,$A:$N,13,0)/VLOOKUP(M$13,$K$1:$M$4,2,0))</f>
        <v>0</v>
      </c>
      <c r="CU49" s="127">
        <f t="shared" si="68"/>
        <v>0</v>
      </c>
      <c r="CV49" s="128">
        <f t="shared" si="52"/>
        <v>0</v>
      </c>
      <c r="CX49" s="130">
        <f t="shared" si="69"/>
        <v>737.8672362630482</v>
      </c>
      <c r="CY49" s="127">
        <f t="shared" si="70"/>
        <v>3277.1083118909755</v>
      </c>
      <c r="CZ49" s="128">
        <f t="shared" si="71"/>
        <v>4014.9755481540237</v>
      </c>
      <c r="DA49" s="224">
        <f t="shared" si="72"/>
        <v>11.847222222222221</v>
      </c>
      <c r="DB49" s="225">
        <f t="shared" si="3"/>
        <v>38824.630417263914</v>
      </c>
    </row>
    <row r="50" spans="1:106" s="16" customFormat="1" x14ac:dyDescent="0.25">
      <c r="A50" s="125">
        <f t="shared" si="53"/>
        <v>48588</v>
      </c>
      <c r="B50" s="134"/>
      <c r="C50" s="135"/>
      <c r="D50" s="136"/>
      <c r="E50" s="136"/>
      <c r="F50" s="136">
        <v>0.05</v>
      </c>
      <c r="G50" s="136">
        <v>0.04</v>
      </c>
      <c r="H50" s="136">
        <v>0.05</v>
      </c>
      <c r="I50" s="136">
        <v>4.2500000000000003E-2</v>
      </c>
      <c r="J50" s="136">
        <v>4.8750000000000002E-2</v>
      </c>
      <c r="K50" s="136">
        <v>4.4999999999999998E-2</v>
      </c>
      <c r="L50" s="136">
        <v>0.05</v>
      </c>
      <c r="M50" s="137">
        <v>4.1250000000000002E-2</v>
      </c>
      <c r="N50" s="124">
        <f t="shared" si="4"/>
        <v>2033</v>
      </c>
      <c r="O50" s="126">
        <f t="shared" si="54"/>
        <v>48588</v>
      </c>
      <c r="P50" s="130"/>
      <c r="Q50" s="127"/>
      <c r="R50" s="127"/>
      <c r="S50" s="128"/>
      <c r="T50" s="130"/>
      <c r="U50" s="127"/>
      <c r="V50" s="127"/>
      <c r="W50" s="128"/>
      <c r="X50" s="130"/>
      <c r="Y50" s="127"/>
      <c r="Z50" s="127"/>
      <c r="AA50" s="128"/>
      <c r="AB50" s="130"/>
      <c r="AC50" s="127"/>
      <c r="AD50" s="127"/>
      <c r="AE50" s="128"/>
      <c r="AF50" s="130">
        <f>+IF($O50&gt;F$8,"FIN",(F$16-SUM(AG$25:AG49))*VLOOKUP($O50,$A:$N,6,0)/VLOOKUP(F$13,$K$1:$M$4,2,0))</f>
        <v>1.4550000000000001</v>
      </c>
      <c r="AG50" s="127">
        <f t="shared" si="17"/>
        <v>9.6999999999999993</v>
      </c>
      <c r="AH50" s="127">
        <f t="shared" si="18"/>
        <v>11.154999999999999</v>
      </c>
      <c r="AI50" s="128">
        <f t="shared" si="19"/>
        <v>3.4386256039003653</v>
      </c>
      <c r="AJ50" s="130">
        <f>+IF($O50&gt;G$8,"FIN",(G$16-SUM(AK$25:AK49))*VLOOKUP($O50,$A:$N,7,0)/VLOOKUP(G$13,$K$1:$M$4,2,0))</f>
        <v>1.1640000000000001</v>
      </c>
      <c r="AK50" s="127">
        <f t="shared" si="20"/>
        <v>9.6999999999999993</v>
      </c>
      <c r="AL50" s="127">
        <f t="shared" si="21"/>
        <v>10.863999999999999</v>
      </c>
      <c r="AM50" s="128">
        <f t="shared" si="22"/>
        <v>3.3489223272768776</v>
      </c>
      <c r="AN50" s="130">
        <f>+IF($O50&gt;H$8,"FIN",(H$16-SUM(AO$25:AO49))*VLOOKUP($O50,$A:$N,8,0)/VLOOKUP(H$13,$K$1:$M$4,2,0))</f>
        <v>1.25</v>
      </c>
      <c r="AO50" s="127">
        <f t="shared" si="23"/>
        <v>4.5454545454545459</v>
      </c>
      <c r="AP50" s="127">
        <f t="shared" si="24"/>
        <v>5.7954545454545459</v>
      </c>
      <c r="AQ50" s="128">
        <f t="shared" si="25"/>
        <v>1.7864991829888621</v>
      </c>
      <c r="AR50" s="130">
        <f>+IF($O50&gt;I$8,"FIN",(I$16-SUM(AS$25:AS49))*VLOOKUP($O50,$A:$N,9,0)/VLOOKUP(I$13,$K$1:$M$4,2,0))</f>
        <v>1.0625</v>
      </c>
      <c r="AS50" s="127">
        <f t="shared" si="26"/>
        <v>4.5454545454545459</v>
      </c>
      <c r="AT50" s="127">
        <f t="shared" si="27"/>
        <v>5.6079545454545459</v>
      </c>
      <c r="AU50" s="128">
        <f t="shared" si="28"/>
        <v>1.7287006800098106</v>
      </c>
      <c r="AV50" s="130">
        <f>+IF($O50&gt;J$8,"FIN",(J$16-SUM(AW$25:AW49))*VLOOKUP($O50,$A:$N,10,0)/VLOOKUP(J$13,$K$1:$M$4,2,0))</f>
        <v>1.5669642857142856</v>
      </c>
      <c r="AW50" s="127">
        <f t="shared" si="29"/>
        <v>3.5714285714285716</v>
      </c>
      <c r="AX50" s="127">
        <f t="shared" si="30"/>
        <v>5.1383928571428577</v>
      </c>
      <c r="AY50" s="128">
        <f t="shared" si="31"/>
        <v>1.5839542125925758</v>
      </c>
      <c r="AZ50" s="130">
        <f>+IF($O50&gt;K$8,"FIN",(K$16-SUM(BA$25:BA49))*VLOOKUP($O50,$A:$N,11,0)/VLOOKUP(K$13,$K$1:$M$4,2,0))</f>
        <v>1.4464285714285712</v>
      </c>
      <c r="BA50" s="127">
        <f t="shared" si="32"/>
        <v>3.5714285714285716</v>
      </c>
      <c r="BB50" s="127">
        <f t="shared" si="33"/>
        <v>5.0178571428571423</v>
      </c>
      <c r="BC50" s="128">
        <f t="shared" si="34"/>
        <v>1.5467980321060424</v>
      </c>
      <c r="BD50" s="130">
        <f>+IF($O50&gt;L$8,"FIN",(L$16-SUM(BE$25:BE49))*VLOOKUP($O50,$A:$N,12,0)/VLOOKUP(L$13,$K$1:$M$4,2,0))</f>
        <v>1.5431818181818184</v>
      </c>
      <c r="BE50" s="127">
        <f t="shared" si="35"/>
        <v>2.2045454545454546</v>
      </c>
      <c r="BF50" s="127">
        <f t="shared" si="36"/>
        <v>3.747727272727273</v>
      </c>
      <c r="BG50" s="128">
        <f t="shared" si="37"/>
        <v>1.1552694716661307</v>
      </c>
      <c r="BH50" s="130">
        <f>+IF($O50&gt;M$8,"FIN",(M$16-SUM(BI$25:BI49))*VLOOKUP($O50,$A:$N,13,0)/VLOOKUP(M$13,$K$1:$M$4,2,0))</f>
        <v>1.2731250000000003</v>
      </c>
      <c r="BI50" s="127">
        <f t="shared" si="38"/>
        <v>2.2045454545454546</v>
      </c>
      <c r="BJ50" s="127">
        <f t="shared" si="39"/>
        <v>3.4776704545454549</v>
      </c>
      <c r="BK50" s="128">
        <f t="shared" si="40"/>
        <v>1.0720221126784244</v>
      </c>
      <c r="BL50" s="124"/>
      <c r="BM50" s="130"/>
      <c r="BN50" s="127"/>
      <c r="BO50" s="127"/>
      <c r="BP50" s="130"/>
      <c r="BQ50" s="127"/>
      <c r="BR50" s="128"/>
      <c r="BS50" s="130"/>
      <c r="BT50" s="127"/>
      <c r="BU50" s="127"/>
      <c r="BV50" s="130"/>
      <c r="BW50" s="127"/>
      <c r="BX50" s="128"/>
      <c r="BY50" s="130">
        <f>+IF($O50&gt;F$8,"FIN",(F$19-SUM(BZ$25:BZ49))*VLOOKUP($O50,$A:$N,6,0)/VLOOKUP(F$13,$K$1:$M$4,2,0))</f>
        <v>301.34516460000003</v>
      </c>
      <c r="BZ50" s="131">
        <f t="shared" si="61"/>
        <v>2008.9677640000002</v>
      </c>
      <c r="CA50" s="128">
        <f t="shared" si="45"/>
        <v>2310.3129286000003</v>
      </c>
      <c r="CB50" s="130">
        <f>+IF($O50&gt;G$8,"FIN",(G$19-SUM(CC$25:CC49))*VLOOKUP($O50,$A:$N,7,0)/VLOOKUP(G$13,$K$1:$M$4,2,0))</f>
        <v>28.224042497548222</v>
      </c>
      <c r="CC50" s="131">
        <f t="shared" si="62"/>
        <v>235.20035414623516</v>
      </c>
      <c r="CD50" s="128">
        <f t="shared" si="46"/>
        <v>263.42439664378338</v>
      </c>
      <c r="CE50" s="130">
        <f>+IF($O50&gt;H$8,"FIN",(H$19-SUM(CF$25:CF49))*VLOOKUP($O50,$A:$N,8,0)/VLOOKUP(H$13,$K$1:$M$4,2,0))</f>
        <v>63.655766050000004</v>
      </c>
      <c r="CF50" s="127">
        <f t="shared" si="63"/>
        <v>231.4755129090909</v>
      </c>
      <c r="CG50" s="128">
        <f t="shared" si="47"/>
        <v>295.13127895909088</v>
      </c>
      <c r="CH50" s="130">
        <f>+IF($O50&gt;I$8,"FIN",(I$19-SUM(CI$25:CI49))*VLOOKUP($O50,$A:$N,9,0)/VLOOKUP(I$13,$K$1:$M$4,2,0))</f>
        <v>61.296208004374996</v>
      </c>
      <c r="CI50" s="131">
        <f t="shared" si="64"/>
        <v>262.22976686363637</v>
      </c>
      <c r="CJ50" s="128">
        <f t="shared" si="48"/>
        <v>323.52597486801136</v>
      </c>
      <c r="CK50" s="130">
        <f>+IF($O50&gt;J$8,"FIN",(J$19-SUM(CL$25:CL49))*VLOOKUP($O50,$A:$N,10,0)/VLOOKUP(J$13,$K$1:$M$4,2,0))</f>
        <v>78.874700512098201</v>
      </c>
      <c r="CL50" s="131">
        <f t="shared" si="65"/>
        <v>179.77139717857145</v>
      </c>
      <c r="CM50" s="128">
        <f t="shared" si="49"/>
        <v>258.64609769066965</v>
      </c>
      <c r="CN50" s="130">
        <f>+IF($O50&gt;K$8,"FIN",(K$19-SUM(CO$25:CO49))*VLOOKUP($O50,$A:$N,11,0)/VLOOKUP(K$13,$K$1:$M$4,2,0))</f>
        <v>93.630548381785701</v>
      </c>
      <c r="CO50" s="131">
        <f t="shared" si="66"/>
        <v>231.18653921428569</v>
      </c>
      <c r="CP50" s="128">
        <f t="shared" si="50"/>
        <v>324.81708759607136</v>
      </c>
      <c r="CQ50" s="130">
        <f>+IF($O50&gt;L$8,"FIN",(L$19-SUM(CR$25:CR49))*VLOOKUP($O50,$A:$N,12,0)/VLOOKUP(L$13,$K$1:$M$4,2,0))</f>
        <v>0</v>
      </c>
      <c r="CR50" s="127">
        <f t="shared" si="67"/>
        <v>0</v>
      </c>
      <c r="CS50" s="128">
        <f t="shared" si="51"/>
        <v>0</v>
      </c>
      <c r="CT50" s="130">
        <f>+IF($O50&gt;M$8,"FIN",(M$19-SUM(CU$25:CU49))*VLOOKUP($O50,$A:$N,13,0)/VLOOKUP(M$13,$K$1:$M$4,2,0))</f>
        <v>0</v>
      </c>
      <c r="CU50" s="127">
        <f t="shared" si="68"/>
        <v>0</v>
      </c>
      <c r="CV50" s="128">
        <f t="shared" si="52"/>
        <v>0</v>
      </c>
      <c r="CX50" s="130">
        <f t="shared" si="69"/>
        <v>659.27113731723045</v>
      </c>
      <c r="CY50" s="127">
        <f t="shared" si="70"/>
        <v>3277.1083118909755</v>
      </c>
      <c r="CZ50" s="128">
        <f t="shared" si="71"/>
        <v>3936.3794492082061</v>
      </c>
      <c r="DA50" s="224">
        <f t="shared" si="72"/>
        <v>12.347222222222221</v>
      </c>
      <c r="DB50" s="225">
        <f t="shared" si="3"/>
        <v>40463.184573209401</v>
      </c>
    </row>
    <row r="51" spans="1:106" s="16" customFormat="1" x14ac:dyDescent="0.25">
      <c r="A51" s="125">
        <f t="shared" si="53"/>
        <v>48769</v>
      </c>
      <c r="B51" s="134"/>
      <c r="C51" s="135"/>
      <c r="D51" s="136"/>
      <c r="E51" s="136"/>
      <c r="F51" s="136">
        <v>0.05</v>
      </c>
      <c r="G51" s="136">
        <v>0.04</v>
      </c>
      <c r="H51" s="136">
        <v>0.05</v>
      </c>
      <c r="I51" s="136">
        <v>4.2500000000000003E-2</v>
      </c>
      <c r="J51" s="136">
        <v>4.8750000000000002E-2</v>
      </c>
      <c r="K51" s="136">
        <v>4.4999999999999998E-2</v>
      </c>
      <c r="L51" s="136">
        <v>0.05</v>
      </c>
      <c r="M51" s="137">
        <v>4.1250000000000002E-2</v>
      </c>
      <c r="N51" s="124">
        <f t="shared" si="4"/>
        <v>2033</v>
      </c>
      <c r="O51" s="126">
        <f t="shared" si="54"/>
        <v>48769</v>
      </c>
      <c r="P51" s="130"/>
      <c r="Q51" s="127"/>
      <c r="R51" s="127"/>
      <c r="S51" s="128"/>
      <c r="T51" s="130"/>
      <c r="U51" s="127"/>
      <c r="V51" s="127"/>
      <c r="W51" s="128"/>
      <c r="X51" s="130"/>
      <c r="Y51" s="127"/>
      <c r="Z51" s="127"/>
      <c r="AA51" s="128"/>
      <c r="AB51" s="130"/>
      <c r="AC51" s="127"/>
      <c r="AD51" s="127"/>
      <c r="AE51" s="128"/>
      <c r="AF51" s="130">
        <f>+IF($O51&gt;F$8,"FIN",(F$16-SUM(AG$25:AG50))*VLOOKUP($O51,$A:$N,6,0)/VLOOKUP(F$13,$K$1:$M$4,2,0))</f>
        <v>1.2125000000000001</v>
      </c>
      <c r="AG51" s="127">
        <f t="shared" si="17"/>
        <v>9.6999999999999993</v>
      </c>
      <c r="AH51" s="127">
        <f t="shared" si="18"/>
        <v>10.9125</v>
      </c>
      <c r="AI51" s="128">
        <f t="shared" si="19"/>
        <v>3.2073269397466611</v>
      </c>
      <c r="AJ51" s="130">
        <f>+IF($O51&gt;G$8,"FIN",(G$16-SUM(AK$25:AK50))*VLOOKUP($O51,$A:$N,7,0)/VLOOKUP(G$13,$K$1:$M$4,2,0))</f>
        <v>0.97</v>
      </c>
      <c r="AK51" s="127">
        <f t="shared" si="20"/>
        <v>9.6999999999999993</v>
      </c>
      <c r="AL51" s="127">
        <f t="shared" si="21"/>
        <v>10.67</v>
      </c>
      <c r="AM51" s="128">
        <f t="shared" si="22"/>
        <v>3.1360530077522908</v>
      </c>
      <c r="AN51" s="130">
        <f>+IF($O51&gt;H$8,"FIN",(H$16-SUM(AO$25:AO50))*VLOOKUP($O51,$A:$N,8,0)/VLOOKUP(H$13,$K$1:$M$4,2,0))</f>
        <v>1.1363636363636362</v>
      </c>
      <c r="AO51" s="127">
        <f t="shared" si="23"/>
        <v>4.5454545454545459</v>
      </c>
      <c r="AP51" s="127">
        <f t="shared" si="24"/>
        <v>5.6818181818181817</v>
      </c>
      <c r="AQ51" s="128">
        <f t="shared" si="25"/>
        <v>1.6699609183310742</v>
      </c>
      <c r="AR51" s="130">
        <f>+IF($O51&gt;I$8,"FIN",(I$16-SUM(AS$25:AS50))*VLOOKUP($O51,$A:$N,9,0)/VLOOKUP(I$13,$K$1:$M$4,2,0))</f>
        <v>0.96590909090909083</v>
      </c>
      <c r="AS51" s="127">
        <f t="shared" si="26"/>
        <v>4.5454545454545459</v>
      </c>
      <c r="AT51" s="127">
        <f t="shared" si="27"/>
        <v>5.5113636363636367</v>
      </c>
      <c r="AU51" s="128">
        <f t="shared" si="28"/>
        <v>1.6198620907811421</v>
      </c>
      <c r="AV51" s="130">
        <f>+IF($O51&gt;J$8,"FIN",(J$16-SUM(AW$25:AW50))*VLOOKUP($O51,$A:$N,10,0)/VLOOKUP(J$13,$K$1:$M$4,2,0))</f>
        <v>1.4799107142857144</v>
      </c>
      <c r="AW51" s="127">
        <f t="shared" si="29"/>
        <v>3.5714285714285716</v>
      </c>
      <c r="AX51" s="127">
        <f t="shared" si="30"/>
        <v>5.0513392857142865</v>
      </c>
      <c r="AY51" s="128">
        <f t="shared" si="31"/>
        <v>1.4846548978576941</v>
      </c>
      <c r="AZ51" s="130">
        <f>+IF($O51&gt;K$8,"FIN",(K$16-SUM(BA$25:BA50))*VLOOKUP($O51,$A:$N,11,0)/VLOOKUP(K$13,$K$1:$M$4,2,0))</f>
        <v>1.3660714285714286</v>
      </c>
      <c r="BA51" s="127">
        <f t="shared" si="32"/>
        <v>3.5714285714285716</v>
      </c>
      <c r="BB51" s="127">
        <f t="shared" si="33"/>
        <v>4.9375</v>
      </c>
      <c r="BC51" s="128">
        <f t="shared" si="34"/>
        <v>1.4511960380297035</v>
      </c>
      <c r="BD51" s="130">
        <f>+IF($O51&gt;L$8,"FIN",(L$16-SUM(BE$25:BE50))*VLOOKUP($O51,$A:$N,12,0)/VLOOKUP(L$13,$K$1:$M$4,2,0))</f>
        <v>1.488068181818182</v>
      </c>
      <c r="BE51" s="127">
        <f t="shared" si="35"/>
        <v>2.2045454545454546</v>
      </c>
      <c r="BF51" s="127">
        <f t="shared" si="36"/>
        <v>3.6926136363636366</v>
      </c>
      <c r="BG51" s="128">
        <f t="shared" si="37"/>
        <v>1.0853076008233651</v>
      </c>
      <c r="BH51" s="130">
        <f>+IF($O51&gt;M$8,"FIN",(M$16-SUM(BI$25:BI50))*VLOOKUP($O51,$A:$N,13,0)/VLOOKUP(M$13,$K$1:$M$4,2,0))</f>
        <v>1.2276562500000001</v>
      </c>
      <c r="BI51" s="127">
        <f t="shared" si="38"/>
        <v>2.2045454545454546</v>
      </c>
      <c r="BJ51" s="127">
        <f t="shared" si="39"/>
        <v>3.4322017045454549</v>
      </c>
      <c r="BK51" s="128">
        <f t="shared" si="40"/>
        <v>1.0087691170339563</v>
      </c>
      <c r="BL51" s="124"/>
      <c r="BM51" s="130"/>
      <c r="BN51" s="127"/>
      <c r="BO51" s="127"/>
      <c r="BP51" s="130"/>
      <c r="BQ51" s="127"/>
      <c r="BR51" s="128"/>
      <c r="BS51" s="130"/>
      <c r="BT51" s="127"/>
      <c r="BU51" s="127"/>
      <c r="BV51" s="130"/>
      <c r="BW51" s="127"/>
      <c r="BX51" s="128"/>
      <c r="BY51" s="130">
        <f>+IF($O51&gt;F$8,"FIN",(F$19-SUM(BZ$25:BZ50))*VLOOKUP($O51,$A:$N,6,0)/VLOOKUP(F$13,$K$1:$M$4,2,0))</f>
        <v>251.12097050000003</v>
      </c>
      <c r="BZ51" s="131">
        <f t="shared" si="61"/>
        <v>2008.9677640000002</v>
      </c>
      <c r="CA51" s="128">
        <f t="shared" si="45"/>
        <v>2260.0887345000001</v>
      </c>
      <c r="CB51" s="130">
        <f>+IF($O51&gt;G$8,"FIN",(G$19-SUM(CC$25:CC50))*VLOOKUP($O51,$A:$N,7,0)/VLOOKUP(G$13,$K$1:$M$4,2,0))</f>
        <v>23.520035414623518</v>
      </c>
      <c r="CC51" s="131">
        <f t="shared" si="62"/>
        <v>235.20035414623516</v>
      </c>
      <c r="CD51" s="128">
        <f t="shared" si="46"/>
        <v>258.72038956085868</v>
      </c>
      <c r="CE51" s="130">
        <f>+IF($O51&gt;H$8,"FIN",(H$19-SUM(CF$25:CF50))*VLOOKUP($O51,$A:$N,8,0)/VLOOKUP(H$13,$K$1:$M$4,2,0))</f>
        <v>57.868878227272731</v>
      </c>
      <c r="CF51" s="127">
        <f t="shared" si="63"/>
        <v>231.4755129090909</v>
      </c>
      <c r="CG51" s="128">
        <f t="shared" si="47"/>
        <v>289.34439113636364</v>
      </c>
      <c r="CH51" s="130">
        <f>+IF($O51&gt;I$8,"FIN",(I$19-SUM(CI$25:CI50))*VLOOKUP($O51,$A:$N,9,0)/VLOOKUP(I$13,$K$1:$M$4,2,0))</f>
        <v>55.723825458522718</v>
      </c>
      <c r="CI51" s="131">
        <f t="shared" si="64"/>
        <v>262.22976686363637</v>
      </c>
      <c r="CJ51" s="128">
        <f t="shared" si="48"/>
        <v>317.95359232215907</v>
      </c>
      <c r="CK51" s="130">
        <f>+IF($O51&gt;J$8,"FIN",(J$19-SUM(CL$25:CL50))*VLOOKUP($O51,$A:$N,10,0)/VLOOKUP(J$13,$K$1:$M$4,2,0))</f>
        <v>74.492772705870522</v>
      </c>
      <c r="CL51" s="131">
        <f t="shared" si="65"/>
        <v>179.77139717857145</v>
      </c>
      <c r="CM51" s="128">
        <f t="shared" si="49"/>
        <v>254.26416988444197</v>
      </c>
      <c r="CN51" s="130">
        <f>+IF($O51&gt;K$8,"FIN",(K$19-SUM(CO$25:CO50))*VLOOKUP($O51,$A:$N,11,0)/VLOOKUP(K$13,$K$1:$M$4,2,0))</f>
        <v>88.428851249464273</v>
      </c>
      <c r="CO51" s="131">
        <f t="shared" si="66"/>
        <v>231.18653921428569</v>
      </c>
      <c r="CP51" s="128">
        <f t="shared" si="50"/>
        <v>319.61539046374997</v>
      </c>
      <c r="CQ51" s="130">
        <f>+IF($O51&gt;L$8,"FIN",(L$19-SUM(CR$25:CR50))*VLOOKUP($O51,$A:$N,12,0)/VLOOKUP(L$13,$K$1:$M$4,2,0))</f>
        <v>0</v>
      </c>
      <c r="CR51" s="127">
        <f t="shared" si="67"/>
        <v>0</v>
      </c>
      <c r="CS51" s="128">
        <f t="shared" si="51"/>
        <v>0</v>
      </c>
      <c r="CT51" s="130">
        <f>+IF($O51&gt;M$8,"FIN",(M$19-SUM(CU$25:CU50))*VLOOKUP($O51,$A:$N,13,0)/VLOOKUP(M$13,$K$1:$M$4,2,0))</f>
        <v>0</v>
      </c>
      <c r="CU51" s="127">
        <f t="shared" si="68"/>
        <v>0</v>
      </c>
      <c r="CV51" s="128">
        <f t="shared" si="52"/>
        <v>0</v>
      </c>
      <c r="CX51" s="130">
        <f t="shared" si="69"/>
        <v>580.67503837141271</v>
      </c>
      <c r="CY51" s="127">
        <f t="shared" si="70"/>
        <v>3277.1083118909755</v>
      </c>
      <c r="CZ51" s="128">
        <f t="shared" si="71"/>
        <v>3857.783350262388</v>
      </c>
      <c r="DA51" s="224">
        <f t="shared" si="72"/>
        <v>12.847222222222221</v>
      </c>
      <c r="DB51" s="225">
        <f t="shared" si="3"/>
        <v>42101.738729154895</v>
      </c>
    </row>
    <row r="52" spans="1:106" s="16" customFormat="1" x14ac:dyDescent="0.25">
      <c r="A52" s="125">
        <f t="shared" si="53"/>
        <v>48953</v>
      </c>
      <c r="B52" s="134"/>
      <c r="C52" s="135"/>
      <c r="D52" s="136"/>
      <c r="E52" s="136"/>
      <c r="F52" s="136">
        <v>0.05</v>
      </c>
      <c r="G52" s="136">
        <v>0.04</v>
      </c>
      <c r="H52" s="136">
        <v>0.05</v>
      </c>
      <c r="I52" s="136">
        <v>4.2500000000000003E-2</v>
      </c>
      <c r="J52" s="136">
        <v>4.8750000000000002E-2</v>
      </c>
      <c r="K52" s="136">
        <v>4.4999999999999998E-2</v>
      </c>
      <c r="L52" s="136">
        <v>0.05</v>
      </c>
      <c r="M52" s="137">
        <v>4.1250000000000002E-2</v>
      </c>
      <c r="N52" s="124">
        <f t="shared" si="4"/>
        <v>2034</v>
      </c>
      <c r="O52" s="126">
        <f t="shared" si="54"/>
        <v>48953</v>
      </c>
      <c r="P52" s="130"/>
      <c r="Q52" s="127"/>
      <c r="R52" s="127"/>
      <c r="S52" s="128"/>
      <c r="T52" s="130"/>
      <c r="U52" s="127"/>
      <c r="V52" s="127"/>
      <c r="W52" s="128"/>
      <c r="X52" s="130"/>
      <c r="Y52" s="127"/>
      <c r="Z52" s="127"/>
      <c r="AA52" s="128"/>
      <c r="AB52" s="130"/>
      <c r="AC52" s="127"/>
      <c r="AD52" s="127"/>
      <c r="AE52" s="128"/>
      <c r="AF52" s="130">
        <f>+IF($O52&gt;F$8,"FIN",(F$16-SUM(AG$25:AG51))*VLOOKUP($O52,$A:$N,6,0)/VLOOKUP(F$13,$K$1:$M$4,2,0))</f>
        <v>0.97</v>
      </c>
      <c r="AG52" s="127">
        <f t="shared" si="17"/>
        <v>9.6999999999999993</v>
      </c>
      <c r="AH52" s="127">
        <f t="shared" si="18"/>
        <v>10.67</v>
      </c>
      <c r="AI52" s="128">
        <f t="shared" si="19"/>
        <v>2.9901092207829261</v>
      </c>
      <c r="AJ52" s="130">
        <f>+IF($O52&gt;G$8,"FIN",(G$16-SUM(AK$25:AK51))*VLOOKUP($O52,$A:$N,7,0)/VLOOKUP(G$13,$K$1:$M$4,2,0))</f>
        <v>0.77599999999999991</v>
      </c>
      <c r="AK52" s="127">
        <f t="shared" si="20"/>
        <v>9.6999999999999993</v>
      </c>
      <c r="AL52" s="127">
        <f t="shared" si="21"/>
        <v>10.475999999999999</v>
      </c>
      <c r="AM52" s="128">
        <f t="shared" si="22"/>
        <v>2.9357435985868725</v>
      </c>
      <c r="AN52" s="130">
        <f>+IF($O52&gt;H$8,"FIN",(H$16-SUM(AO$25:AO51))*VLOOKUP($O52,$A:$N,8,0)/VLOOKUP(H$13,$K$1:$M$4,2,0))</f>
        <v>1.0227272727272725</v>
      </c>
      <c r="AO52" s="127">
        <f t="shared" si="23"/>
        <v>4.5454545454545459</v>
      </c>
      <c r="AP52" s="127">
        <f t="shared" si="24"/>
        <v>5.5681818181818183</v>
      </c>
      <c r="AQ52" s="128">
        <f t="shared" si="25"/>
        <v>1.5604003559082749</v>
      </c>
      <c r="AR52" s="130">
        <f>+IF($O52&gt;I$8,"FIN",(I$16-SUM(AS$25:AS51))*VLOOKUP($O52,$A:$N,9,0)/VLOOKUP(I$13,$K$1:$M$4,2,0))</f>
        <v>0.86931818181818166</v>
      </c>
      <c r="AS52" s="127">
        <f t="shared" si="26"/>
        <v>4.5454545454545459</v>
      </c>
      <c r="AT52" s="127">
        <f t="shared" si="27"/>
        <v>5.4147727272727275</v>
      </c>
      <c r="AU52" s="128">
        <f t="shared" si="28"/>
        <v>1.5174097338577408</v>
      </c>
      <c r="AV52" s="130">
        <f>+IF($O52&gt;J$8,"FIN",(J$16-SUM(AW$25:AW51))*VLOOKUP($O52,$A:$N,10,0)/VLOOKUP(J$13,$K$1:$M$4,2,0))</f>
        <v>1.392857142857143</v>
      </c>
      <c r="AW52" s="127">
        <f t="shared" si="29"/>
        <v>3.5714285714285716</v>
      </c>
      <c r="AX52" s="127">
        <f t="shared" si="30"/>
        <v>4.9642857142857144</v>
      </c>
      <c r="AY52" s="128">
        <f t="shared" si="31"/>
        <v>1.3911674310109343</v>
      </c>
      <c r="AZ52" s="130">
        <f>+IF($O52&gt;K$8,"FIN",(K$16-SUM(BA$25:BA51))*VLOOKUP($O52,$A:$N,11,0)/VLOOKUP(K$13,$K$1:$M$4,2,0))</f>
        <v>1.2857142857142858</v>
      </c>
      <c r="BA52" s="127">
        <f t="shared" si="32"/>
        <v>3.5714285714285716</v>
      </c>
      <c r="BB52" s="127">
        <f t="shared" si="33"/>
        <v>4.8571428571428577</v>
      </c>
      <c r="BC52" s="128">
        <f t="shared" si="34"/>
        <v>1.3611422346581805</v>
      </c>
      <c r="BD52" s="130">
        <f>+IF($O52&gt;L$8,"FIN",(L$16-SUM(BE$25:BE51))*VLOOKUP($O52,$A:$N,12,0)/VLOOKUP(L$13,$K$1:$M$4,2,0))</f>
        <v>1.4329545454545458</v>
      </c>
      <c r="BE52" s="127">
        <f t="shared" si="35"/>
        <v>2.2045454545454546</v>
      </c>
      <c r="BF52" s="127">
        <f t="shared" si="36"/>
        <v>3.6375000000000002</v>
      </c>
      <c r="BG52" s="128">
        <f t="shared" si="37"/>
        <v>1.0193554161759977</v>
      </c>
      <c r="BH52" s="130">
        <f>+IF($O52&gt;M$8,"FIN",(M$16-SUM(BI$25:BI51))*VLOOKUP($O52,$A:$N,13,0)/VLOOKUP(M$13,$K$1:$M$4,2,0))</f>
        <v>1.1821875000000002</v>
      </c>
      <c r="BI52" s="127">
        <f t="shared" si="38"/>
        <v>2.2045454545454546</v>
      </c>
      <c r="BJ52" s="127">
        <f t="shared" si="39"/>
        <v>3.3867329545454545</v>
      </c>
      <c r="BK52" s="128">
        <f t="shared" si="40"/>
        <v>0.94908167157598555</v>
      </c>
      <c r="BL52" s="124"/>
      <c r="BM52" s="130"/>
      <c r="BN52" s="127"/>
      <c r="BO52" s="127"/>
      <c r="BP52" s="130"/>
      <c r="BQ52" s="127"/>
      <c r="BR52" s="128"/>
      <c r="BS52" s="130"/>
      <c r="BT52" s="127"/>
      <c r="BU52" s="127"/>
      <c r="BV52" s="130"/>
      <c r="BW52" s="127"/>
      <c r="BX52" s="128"/>
      <c r="BY52" s="130">
        <f>+IF($O52&gt;F$8,"FIN",(F$19-SUM(BZ$25:BZ51))*VLOOKUP($O52,$A:$N,6,0)/VLOOKUP(F$13,$K$1:$M$4,2,0))</f>
        <v>200.89677640000002</v>
      </c>
      <c r="BZ52" s="131">
        <f t="shared" si="61"/>
        <v>2008.9677640000002</v>
      </c>
      <c r="CA52" s="128">
        <f t="shared" si="45"/>
        <v>2209.8645404000004</v>
      </c>
      <c r="CB52" s="130">
        <f>+IF($O52&gt;G$8,"FIN",(G$19-SUM(CC$25:CC51))*VLOOKUP($O52,$A:$N,7,0)/VLOOKUP(G$13,$K$1:$M$4,2,0))</f>
        <v>18.816028331698814</v>
      </c>
      <c r="CC52" s="131">
        <f t="shared" si="62"/>
        <v>235.20035414623516</v>
      </c>
      <c r="CD52" s="128">
        <f t="shared" si="46"/>
        <v>254.01638247793397</v>
      </c>
      <c r="CE52" s="130">
        <f>+IF($O52&gt;H$8,"FIN",(H$19-SUM(CF$25:CF51))*VLOOKUP($O52,$A:$N,8,0)/VLOOKUP(H$13,$K$1:$M$4,2,0))</f>
        <v>52.081990404545458</v>
      </c>
      <c r="CF52" s="127">
        <f t="shared" si="63"/>
        <v>231.4755129090909</v>
      </c>
      <c r="CG52" s="128">
        <f t="shared" si="47"/>
        <v>283.55750331363635</v>
      </c>
      <c r="CH52" s="130">
        <f>+IF($O52&gt;I$8,"FIN",(I$19-SUM(CI$25:CI51))*VLOOKUP($O52,$A:$N,9,0)/VLOOKUP(I$13,$K$1:$M$4,2,0))</f>
        <v>50.151442912670447</v>
      </c>
      <c r="CI52" s="131">
        <f t="shared" si="64"/>
        <v>262.22976686363637</v>
      </c>
      <c r="CJ52" s="128">
        <f t="shared" si="48"/>
        <v>312.38120977630683</v>
      </c>
      <c r="CK52" s="130">
        <f>+IF($O52&gt;J$8,"FIN",(J$19-SUM(CL$25:CL51))*VLOOKUP($O52,$A:$N,10,0)/VLOOKUP(J$13,$K$1:$M$4,2,0))</f>
        <v>70.110844899642842</v>
      </c>
      <c r="CL52" s="131">
        <f t="shared" si="65"/>
        <v>179.77139717857145</v>
      </c>
      <c r="CM52" s="128">
        <f t="shared" si="49"/>
        <v>249.88224207821429</v>
      </c>
      <c r="CN52" s="130">
        <f>+IF($O52&gt;K$8,"FIN",(K$19-SUM(CO$25:CO51))*VLOOKUP($O52,$A:$N,11,0)/VLOOKUP(K$13,$K$1:$M$4,2,0))</f>
        <v>83.227154117142845</v>
      </c>
      <c r="CO52" s="131">
        <f t="shared" si="66"/>
        <v>231.18653921428569</v>
      </c>
      <c r="CP52" s="128">
        <f t="shared" si="50"/>
        <v>314.41369333142853</v>
      </c>
      <c r="CQ52" s="130">
        <f>+IF($O52&gt;L$8,"FIN",(L$19-SUM(CR$25:CR51))*VLOOKUP($O52,$A:$N,12,0)/VLOOKUP(L$13,$K$1:$M$4,2,0))</f>
        <v>0</v>
      </c>
      <c r="CR52" s="127">
        <f t="shared" si="67"/>
        <v>0</v>
      </c>
      <c r="CS52" s="128">
        <f t="shared" si="51"/>
        <v>0</v>
      </c>
      <c r="CT52" s="130">
        <f>+IF($O52&gt;M$8,"FIN",(M$19-SUM(CU$25:CU51))*VLOOKUP($O52,$A:$N,13,0)/VLOOKUP(M$13,$K$1:$M$4,2,0))</f>
        <v>0</v>
      </c>
      <c r="CU52" s="127">
        <f t="shared" si="68"/>
        <v>0</v>
      </c>
      <c r="CV52" s="128">
        <f t="shared" si="52"/>
        <v>0</v>
      </c>
      <c r="CX52" s="130">
        <f t="shared" si="69"/>
        <v>502.07893942559502</v>
      </c>
      <c r="CY52" s="127">
        <f t="shared" si="70"/>
        <v>3277.1083118909755</v>
      </c>
      <c r="CZ52" s="128">
        <f t="shared" si="71"/>
        <v>3779.1872513165704</v>
      </c>
      <c r="DA52" s="224">
        <f t="shared" si="72"/>
        <v>13.347222222222221</v>
      </c>
      <c r="DB52" s="225">
        <f t="shared" si="3"/>
        <v>43740.292885100382</v>
      </c>
    </row>
    <row r="53" spans="1:106" s="16" customFormat="1" x14ac:dyDescent="0.25">
      <c r="A53" s="125">
        <f t="shared" si="53"/>
        <v>49134</v>
      </c>
      <c r="B53" s="134"/>
      <c r="C53" s="135"/>
      <c r="D53" s="136"/>
      <c r="E53" s="136"/>
      <c r="F53" s="136">
        <v>0.05</v>
      </c>
      <c r="G53" s="136">
        <v>0.04</v>
      </c>
      <c r="H53" s="136">
        <v>0.05</v>
      </c>
      <c r="I53" s="136">
        <v>4.2500000000000003E-2</v>
      </c>
      <c r="J53" s="136">
        <v>4.8750000000000002E-2</v>
      </c>
      <c r="K53" s="136">
        <v>4.4999999999999998E-2</v>
      </c>
      <c r="L53" s="136">
        <v>0.05</v>
      </c>
      <c r="M53" s="137">
        <v>4.1250000000000002E-2</v>
      </c>
      <c r="N53" s="124">
        <f t="shared" si="4"/>
        <v>2034</v>
      </c>
      <c r="O53" s="126">
        <f t="shared" si="54"/>
        <v>49134</v>
      </c>
      <c r="P53" s="130"/>
      <c r="Q53" s="127"/>
      <c r="R53" s="127"/>
      <c r="S53" s="128"/>
      <c r="T53" s="130"/>
      <c r="U53" s="127"/>
      <c r="V53" s="127"/>
      <c r="W53" s="128"/>
      <c r="X53" s="130"/>
      <c r="Y53" s="127"/>
      <c r="Z53" s="127"/>
      <c r="AA53" s="128"/>
      <c r="AB53" s="130"/>
      <c r="AC53" s="127"/>
      <c r="AD53" s="127"/>
      <c r="AE53" s="128"/>
      <c r="AF53" s="130">
        <f>+IF($O53&gt;F$8,"FIN",(F$16-SUM(AG$25:AG52))*VLOOKUP($O53,$A:$N,6,0)/VLOOKUP(F$13,$K$1:$M$4,2,0))</f>
        <v>0.72749999999999992</v>
      </c>
      <c r="AG53" s="127">
        <f t="shared" si="17"/>
        <v>9.6999999999999993</v>
      </c>
      <c r="AH53" s="127">
        <f t="shared" si="18"/>
        <v>10.427499999999998</v>
      </c>
      <c r="AI53" s="128">
        <f t="shared" si="19"/>
        <v>2.7861627961435631</v>
      </c>
      <c r="AJ53" s="130">
        <f>+IF($O53&gt;G$8,"FIN",(G$16-SUM(AK$25:AK52))*VLOOKUP($O53,$A:$N,7,0)/VLOOKUP(G$13,$K$1:$M$4,2,0))</f>
        <v>0.58199999999999985</v>
      </c>
      <c r="AK53" s="127">
        <f t="shared" si="20"/>
        <v>9.6999999999999993</v>
      </c>
      <c r="AL53" s="127">
        <f t="shared" si="21"/>
        <v>10.282</v>
      </c>
      <c r="AM53" s="128">
        <f t="shared" si="22"/>
        <v>2.7472861059648159</v>
      </c>
      <c r="AN53" s="130">
        <f>+IF($O53&gt;H$8,"FIN",(H$16-SUM(AO$25:AO52))*VLOOKUP($O53,$A:$N,8,0)/VLOOKUP(H$13,$K$1:$M$4,2,0))</f>
        <v>0.90909090909090884</v>
      </c>
      <c r="AO53" s="127">
        <f t="shared" si="23"/>
        <v>4.5454545454545459</v>
      </c>
      <c r="AP53" s="127">
        <f t="shared" si="24"/>
        <v>5.454545454545455</v>
      </c>
      <c r="AQ53" s="128">
        <f t="shared" si="25"/>
        <v>1.4574204378162099</v>
      </c>
      <c r="AR53" s="130">
        <f>+IF($O53&gt;I$8,"FIN",(I$16-SUM(AS$25:AS52))*VLOOKUP($O53,$A:$N,9,0)/VLOOKUP(I$13,$K$1:$M$4,2,0))</f>
        <v>0.7727272727272726</v>
      </c>
      <c r="AS53" s="127">
        <f t="shared" si="26"/>
        <v>4.5454545454545459</v>
      </c>
      <c r="AT53" s="127">
        <f t="shared" si="27"/>
        <v>5.3181818181818183</v>
      </c>
      <c r="AU53" s="128">
        <f t="shared" si="28"/>
        <v>1.4209849268708046</v>
      </c>
      <c r="AV53" s="130">
        <f>+IF($O53&gt;J$8,"FIN",(J$16-SUM(AW$25:AW52))*VLOOKUP($O53,$A:$N,10,0)/VLOOKUP(J$13,$K$1:$M$4,2,0))</f>
        <v>1.3058035714285716</v>
      </c>
      <c r="AW53" s="127">
        <f t="shared" si="29"/>
        <v>3.5714285714285716</v>
      </c>
      <c r="AX53" s="127">
        <f t="shared" si="30"/>
        <v>4.8772321428571432</v>
      </c>
      <c r="AY53" s="128">
        <f t="shared" si="31"/>
        <v>1.3031659309119272</v>
      </c>
      <c r="AZ53" s="130">
        <f>+IF($O53&gt;K$8,"FIN",(K$16-SUM(BA$25:BA52))*VLOOKUP($O53,$A:$N,11,0)/VLOOKUP(K$13,$K$1:$M$4,2,0))</f>
        <v>1.205357142857143</v>
      </c>
      <c r="BA53" s="127">
        <f t="shared" si="32"/>
        <v>3.5714285714285716</v>
      </c>
      <c r="BB53" s="127">
        <f t="shared" si="33"/>
        <v>4.7767857142857144</v>
      </c>
      <c r="BC53" s="128">
        <f t="shared" si="34"/>
        <v>1.2763272732958921</v>
      </c>
      <c r="BD53" s="130">
        <f>+IF($O53&gt;L$8,"FIN",(L$16-SUM(BE$25:BE52))*VLOOKUP($O53,$A:$N,12,0)/VLOOKUP(L$13,$K$1:$M$4,2,0))</f>
        <v>1.3778409090909094</v>
      </c>
      <c r="BE53" s="127">
        <f t="shared" si="35"/>
        <v>2.2045454545454546</v>
      </c>
      <c r="BF53" s="127">
        <f t="shared" si="36"/>
        <v>3.5823863636363642</v>
      </c>
      <c r="BG53" s="128">
        <f t="shared" si="37"/>
        <v>0.9571912354615838</v>
      </c>
      <c r="BH53" s="130">
        <f>+IF($O53&gt;M$8,"FIN",(M$16-SUM(BI$25:BI52))*VLOOKUP($O53,$A:$N,13,0)/VLOOKUP(M$13,$K$1:$M$4,2,0))</f>
        <v>1.1367187500000002</v>
      </c>
      <c r="BI53" s="127">
        <f t="shared" si="38"/>
        <v>2.2045454545454546</v>
      </c>
      <c r="BJ53" s="127">
        <f t="shared" si="39"/>
        <v>3.341264204545455</v>
      </c>
      <c r="BK53" s="128">
        <f t="shared" si="40"/>
        <v>0.89276490230551564</v>
      </c>
      <c r="BL53" s="124"/>
      <c r="BM53" s="130"/>
      <c r="BN53" s="127"/>
      <c r="BO53" s="127"/>
      <c r="BP53" s="130"/>
      <c r="BQ53" s="127"/>
      <c r="BR53" s="128"/>
      <c r="BS53" s="130"/>
      <c r="BT53" s="127"/>
      <c r="BU53" s="127"/>
      <c r="BV53" s="130"/>
      <c r="BW53" s="127"/>
      <c r="BX53" s="128"/>
      <c r="BY53" s="130">
        <f>+IF($O53&gt;F$8,"FIN",(F$19-SUM(BZ$25:BZ52))*VLOOKUP($O53,$A:$N,6,0)/VLOOKUP(F$13,$K$1:$M$4,2,0))</f>
        <v>150.67258229999999</v>
      </c>
      <c r="BZ53" s="131">
        <f t="shared" si="61"/>
        <v>2008.9677640000002</v>
      </c>
      <c r="CA53" s="128">
        <f t="shared" si="45"/>
        <v>2159.6403463000001</v>
      </c>
      <c r="CB53" s="130">
        <f>+IF($O53&gt;G$8,"FIN",(G$19-SUM(CC$25:CC52))*VLOOKUP($O53,$A:$N,7,0)/VLOOKUP(G$13,$K$1:$M$4,2,0))</f>
        <v>14.112021248774109</v>
      </c>
      <c r="CC53" s="131">
        <f t="shared" si="62"/>
        <v>235.20035414623516</v>
      </c>
      <c r="CD53" s="128">
        <f t="shared" si="46"/>
        <v>249.31237539500927</v>
      </c>
      <c r="CE53" s="130">
        <f>+IF($O53&gt;H$8,"FIN",(H$19-SUM(CF$25:CF52))*VLOOKUP($O53,$A:$N,8,0)/VLOOKUP(H$13,$K$1:$M$4,2,0))</f>
        <v>46.295102581818185</v>
      </c>
      <c r="CF53" s="127">
        <f t="shared" si="63"/>
        <v>231.4755129090909</v>
      </c>
      <c r="CG53" s="128">
        <f t="shared" si="47"/>
        <v>277.77061549090911</v>
      </c>
      <c r="CH53" s="130">
        <f>+IF($O53&gt;I$8,"FIN",(I$19-SUM(CI$25:CI52))*VLOOKUP($O53,$A:$N,9,0)/VLOOKUP(I$13,$K$1:$M$4,2,0))</f>
        <v>44.579060366818169</v>
      </c>
      <c r="CI53" s="131">
        <f t="shared" si="64"/>
        <v>262.22976686363637</v>
      </c>
      <c r="CJ53" s="128">
        <f t="shared" si="48"/>
        <v>306.80882723045454</v>
      </c>
      <c r="CK53" s="130">
        <f>+IF($O53&gt;J$8,"FIN",(J$19-SUM(CL$25:CL52))*VLOOKUP($O53,$A:$N,10,0)/VLOOKUP(J$13,$K$1:$M$4,2,0))</f>
        <v>65.728917093415163</v>
      </c>
      <c r="CL53" s="131">
        <f t="shared" si="65"/>
        <v>179.77139717857145</v>
      </c>
      <c r="CM53" s="128">
        <f t="shared" si="49"/>
        <v>245.50031427198661</v>
      </c>
      <c r="CN53" s="130">
        <f>+IF($O53&gt;K$8,"FIN",(K$19-SUM(CO$25:CO52))*VLOOKUP($O53,$A:$N,11,0)/VLOOKUP(K$13,$K$1:$M$4,2,0))</f>
        <v>78.025456984821417</v>
      </c>
      <c r="CO53" s="131">
        <f t="shared" si="66"/>
        <v>231.18653921428569</v>
      </c>
      <c r="CP53" s="128">
        <f t="shared" si="50"/>
        <v>309.21199619910709</v>
      </c>
      <c r="CQ53" s="130">
        <f>+IF($O53&gt;L$8,"FIN",(L$19-SUM(CR$25:CR52))*VLOOKUP($O53,$A:$N,12,0)/VLOOKUP(L$13,$K$1:$M$4,2,0))</f>
        <v>0</v>
      </c>
      <c r="CR53" s="127">
        <f t="shared" si="67"/>
        <v>0</v>
      </c>
      <c r="CS53" s="128">
        <f t="shared" si="51"/>
        <v>0</v>
      </c>
      <c r="CT53" s="130">
        <f>+IF($O53&gt;M$8,"FIN",(M$19-SUM(CU$25:CU52))*VLOOKUP($O53,$A:$N,13,0)/VLOOKUP(M$13,$K$1:$M$4,2,0))</f>
        <v>0</v>
      </c>
      <c r="CU53" s="127">
        <f t="shared" si="68"/>
        <v>0</v>
      </c>
      <c r="CV53" s="128">
        <f t="shared" si="52"/>
        <v>0</v>
      </c>
      <c r="CX53" s="130">
        <f t="shared" si="69"/>
        <v>423.48284047977722</v>
      </c>
      <c r="CY53" s="127">
        <f t="shared" si="70"/>
        <v>3277.1083118909755</v>
      </c>
      <c r="CZ53" s="128">
        <f t="shared" si="71"/>
        <v>3700.5911523707528</v>
      </c>
      <c r="DA53" s="224">
        <f t="shared" si="72"/>
        <v>13.847222222222221</v>
      </c>
      <c r="DB53" s="225">
        <f t="shared" si="3"/>
        <v>45378.847041045869</v>
      </c>
    </row>
    <row r="54" spans="1:106" s="16" customFormat="1" x14ac:dyDescent="0.25">
      <c r="A54" s="125">
        <f t="shared" si="53"/>
        <v>49318</v>
      </c>
      <c r="B54" s="134"/>
      <c r="C54" s="135"/>
      <c r="D54" s="136"/>
      <c r="E54" s="136"/>
      <c r="F54" s="136">
        <v>0.05</v>
      </c>
      <c r="G54" s="136">
        <v>0.04</v>
      </c>
      <c r="H54" s="136">
        <v>0.05</v>
      </c>
      <c r="I54" s="136">
        <v>4.2500000000000003E-2</v>
      </c>
      <c r="J54" s="136">
        <v>4.8750000000000002E-2</v>
      </c>
      <c r="K54" s="136">
        <v>4.4999999999999998E-2</v>
      </c>
      <c r="L54" s="136">
        <v>0.05</v>
      </c>
      <c r="M54" s="137">
        <v>4.1250000000000002E-2</v>
      </c>
      <c r="N54" s="124">
        <f t="shared" si="4"/>
        <v>2035</v>
      </c>
      <c r="O54" s="126">
        <f t="shared" si="54"/>
        <v>49318</v>
      </c>
      <c r="P54" s="130"/>
      <c r="Q54" s="127"/>
      <c r="R54" s="127"/>
      <c r="S54" s="128"/>
      <c r="T54" s="130"/>
      <c r="U54" s="127"/>
      <c r="V54" s="127"/>
      <c r="W54" s="128"/>
      <c r="X54" s="130"/>
      <c r="Y54" s="127"/>
      <c r="Z54" s="127"/>
      <c r="AA54" s="128"/>
      <c r="AB54" s="130"/>
      <c r="AC54" s="127"/>
      <c r="AD54" s="127"/>
      <c r="AE54" s="128"/>
      <c r="AF54" s="130">
        <f>+IF($O54&gt;F$8,"FIN",(F$16-SUM(AG$25:AG53))*VLOOKUP($O54,$A:$N,6,0)/VLOOKUP(F$13,$K$1:$M$4,2,0))</f>
        <v>0.48499999999999982</v>
      </c>
      <c r="AG54" s="127">
        <f t="shared" si="17"/>
        <v>9.6999999999999993</v>
      </c>
      <c r="AH54" s="127">
        <f t="shared" si="18"/>
        <v>10.184999999999999</v>
      </c>
      <c r="AI54" s="128">
        <f t="shared" si="19"/>
        <v>2.5947228775389028</v>
      </c>
      <c r="AJ54" s="130">
        <f>+IF($O54&gt;G$8,"FIN",(G$16-SUM(AK$25:AK53))*VLOOKUP($O54,$A:$N,7,0)/VLOOKUP(G$13,$K$1:$M$4,2,0))</f>
        <v>0.38799999999999985</v>
      </c>
      <c r="AK54" s="127">
        <f t="shared" si="20"/>
        <v>9.6999999999999993</v>
      </c>
      <c r="AL54" s="127">
        <f t="shared" si="21"/>
        <v>10.087999999999999</v>
      </c>
      <c r="AM54" s="128">
        <f t="shared" si="22"/>
        <v>2.5700112310861516</v>
      </c>
      <c r="AN54" s="130">
        <f>+IF($O54&gt;H$8,"FIN",(H$16-SUM(AO$25:AO53))*VLOOKUP($O54,$A:$N,8,0)/VLOOKUP(H$13,$K$1:$M$4,2,0))</f>
        <v>0.79545454545454541</v>
      </c>
      <c r="AO54" s="127">
        <f t="shared" si="23"/>
        <v>4.5454545454545459</v>
      </c>
      <c r="AP54" s="127">
        <f t="shared" si="24"/>
        <v>5.3409090909090917</v>
      </c>
      <c r="AQ54" s="128">
        <f t="shared" si="25"/>
        <v>1.3606459504209449</v>
      </c>
      <c r="AR54" s="130">
        <f>+IF($O54&gt;I$8,"FIN",(I$16-SUM(AS$25:AS53))*VLOOKUP($O54,$A:$N,9,0)/VLOOKUP(I$13,$K$1:$M$4,2,0))</f>
        <v>0.67613636363636354</v>
      </c>
      <c r="AS54" s="127">
        <f t="shared" si="26"/>
        <v>4.5454545454545459</v>
      </c>
      <c r="AT54" s="127">
        <f t="shared" si="27"/>
        <v>5.2215909090909092</v>
      </c>
      <c r="AU54" s="128">
        <f t="shared" si="28"/>
        <v>1.3302485408902642</v>
      </c>
      <c r="AV54" s="130">
        <f>+IF($O54&gt;J$8,"FIN",(J$16-SUM(AW$25:AW53))*VLOOKUP($O54,$A:$N,10,0)/VLOOKUP(J$13,$K$1:$M$4,2,0))</f>
        <v>1.2187500000000002</v>
      </c>
      <c r="AW54" s="127">
        <f t="shared" si="29"/>
        <v>3.5714285714285716</v>
      </c>
      <c r="AX54" s="127">
        <f t="shared" si="30"/>
        <v>4.7901785714285721</v>
      </c>
      <c r="AY54" s="128">
        <f t="shared" si="31"/>
        <v>1.220342260852463</v>
      </c>
      <c r="AZ54" s="130">
        <f>+IF($O54&gt;K$8,"FIN",(K$16-SUM(BA$25:BA53))*VLOOKUP($O54,$A:$N,11,0)/VLOOKUP(K$13,$K$1:$M$4,2,0))</f>
        <v>1.1250000000000002</v>
      </c>
      <c r="BA54" s="127">
        <f t="shared" si="32"/>
        <v>3.5714285714285716</v>
      </c>
      <c r="BB54" s="127">
        <f t="shared" si="33"/>
        <v>4.6964285714285721</v>
      </c>
      <c r="BC54" s="128">
        <f t="shared" si="34"/>
        <v>1.1964585819354996</v>
      </c>
      <c r="BD54" s="130">
        <f>+IF($O54&gt;L$8,"FIN",(L$16-SUM(BE$25:BE53))*VLOOKUP($O54,$A:$N,12,0)/VLOOKUP(L$13,$K$1:$M$4,2,0))</f>
        <v>1.3227272727272732</v>
      </c>
      <c r="BE54" s="127">
        <f t="shared" si="35"/>
        <v>2.2045454545454546</v>
      </c>
      <c r="BF54" s="127">
        <f t="shared" si="36"/>
        <v>3.5272727272727278</v>
      </c>
      <c r="BG54" s="128">
        <f t="shared" si="37"/>
        <v>0.8986053255545986</v>
      </c>
      <c r="BH54" s="130">
        <f>+IF($O54&gt;M$8,"FIN",(M$16-SUM(BI$25:BI53))*VLOOKUP($O54,$A:$N,13,0)/VLOOKUP(M$13,$K$1:$M$4,2,0))</f>
        <v>1.0912500000000003</v>
      </c>
      <c r="BI54" s="127">
        <f t="shared" si="38"/>
        <v>2.2045454545454546</v>
      </c>
      <c r="BJ54" s="127">
        <f t="shared" si="39"/>
        <v>3.2957954545454546</v>
      </c>
      <c r="BK54" s="128">
        <f t="shared" si="40"/>
        <v>0.839634351065078</v>
      </c>
      <c r="BL54" s="124"/>
      <c r="BM54" s="130"/>
      <c r="BN54" s="127"/>
      <c r="BO54" s="127"/>
      <c r="BP54" s="130"/>
      <c r="BQ54" s="127"/>
      <c r="BR54" s="128"/>
      <c r="BS54" s="130"/>
      <c r="BT54" s="127"/>
      <c r="BU54" s="127"/>
      <c r="BV54" s="130"/>
      <c r="BW54" s="127"/>
      <c r="BX54" s="128"/>
      <c r="BY54" s="130">
        <f>+IF($O54&gt;F$8,"FIN",(F$19-SUM(BZ$25:BZ53))*VLOOKUP($O54,$A:$N,6,0)/VLOOKUP(F$13,$K$1:$M$4,2,0))</f>
        <v>100.44838819999995</v>
      </c>
      <c r="BZ54" s="131">
        <f t="shared" si="61"/>
        <v>2008.9677640000002</v>
      </c>
      <c r="CA54" s="128">
        <f t="shared" si="45"/>
        <v>2109.4161522000004</v>
      </c>
      <c r="CB54" s="130">
        <f>+IF($O54&gt;G$8,"FIN",(G$19-SUM(CC$25:CC53))*VLOOKUP($O54,$A:$N,7,0)/VLOOKUP(G$13,$K$1:$M$4,2,0))</f>
        <v>9.408014165849405</v>
      </c>
      <c r="CC54" s="131">
        <f t="shared" si="62"/>
        <v>235.20035414623516</v>
      </c>
      <c r="CD54" s="128">
        <f t="shared" si="46"/>
        <v>244.60836831208456</v>
      </c>
      <c r="CE54" s="130">
        <f>+IF($O54&gt;H$8,"FIN",(H$19-SUM(CF$25:CF53))*VLOOKUP($O54,$A:$N,8,0)/VLOOKUP(H$13,$K$1:$M$4,2,0))</f>
        <v>40.508214759090919</v>
      </c>
      <c r="CF54" s="127">
        <f t="shared" si="63"/>
        <v>231.4755129090909</v>
      </c>
      <c r="CG54" s="128">
        <f t="shared" si="47"/>
        <v>271.98372766818181</v>
      </c>
      <c r="CH54" s="130">
        <f>+IF($O54&gt;I$8,"FIN",(I$19-SUM(CI$25:CI53))*VLOOKUP($O54,$A:$N,9,0)/VLOOKUP(I$13,$K$1:$M$4,2,0))</f>
        <v>39.006677820965891</v>
      </c>
      <c r="CI54" s="131">
        <f t="shared" si="64"/>
        <v>262.22976686363637</v>
      </c>
      <c r="CJ54" s="128">
        <f t="shared" si="48"/>
        <v>301.23644468460225</v>
      </c>
      <c r="CK54" s="130">
        <f>+IF($O54&gt;J$8,"FIN",(J$19-SUM(CL$25:CL53))*VLOOKUP($O54,$A:$N,10,0)/VLOOKUP(J$13,$K$1:$M$4,2,0))</f>
        <v>61.346989287187483</v>
      </c>
      <c r="CL54" s="131">
        <f t="shared" si="65"/>
        <v>179.77139717857145</v>
      </c>
      <c r="CM54" s="128">
        <f t="shared" si="49"/>
        <v>241.11838646575893</v>
      </c>
      <c r="CN54" s="130">
        <f>+IF($O54&gt;K$8,"FIN",(K$19-SUM(CO$25:CO53))*VLOOKUP($O54,$A:$N,11,0)/VLOOKUP(K$13,$K$1:$M$4,2,0))</f>
        <v>72.823759852499975</v>
      </c>
      <c r="CO54" s="131">
        <f t="shared" si="66"/>
        <v>231.18653921428569</v>
      </c>
      <c r="CP54" s="128">
        <f t="shared" si="50"/>
        <v>304.01029906678565</v>
      </c>
      <c r="CQ54" s="130">
        <f>+IF($O54&gt;L$8,"FIN",(L$19-SUM(CR$25:CR53))*VLOOKUP($O54,$A:$N,12,0)/VLOOKUP(L$13,$K$1:$M$4,2,0))</f>
        <v>0</v>
      </c>
      <c r="CR54" s="127">
        <f t="shared" si="67"/>
        <v>0</v>
      </c>
      <c r="CS54" s="128">
        <f t="shared" si="51"/>
        <v>0</v>
      </c>
      <c r="CT54" s="130">
        <f>+IF($O54&gt;M$8,"FIN",(M$19-SUM(CU$25:CU53))*VLOOKUP($O54,$A:$N,13,0)/VLOOKUP(M$13,$K$1:$M$4,2,0))</f>
        <v>0</v>
      </c>
      <c r="CU54" s="127">
        <f t="shared" si="68"/>
        <v>0</v>
      </c>
      <c r="CV54" s="128">
        <f t="shared" si="52"/>
        <v>0</v>
      </c>
      <c r="CX54" s="130">
        <f t="shared" si="69"/>
        <v>344.88674153395948</v>
      </c>
      <c r="CY54" s="127">
        <f t="shared" si="70"/>
        <v>3277.1083118909755</v>
      </c>
      <c r="CZ54" s="128">
        <f t="shared" si="71"/>
        <v>3621.9950534249351</v>
      </c>
      <c r="DA54" s="224">
        <f t="shared" si="72"/>
        <v>14.347222222222221</v>
      </c>
      <c r="DB54" s="225">
        <f t="shared" si="3"/>
        <v>47017.401196991355</v>
      </c>
    </row>
    <row r="55" spans="1:106" s="16" customFormat="1" x14ac:dyDescent="0.25">
      <c r="A55" s="125">
        <f t="shared" si="53"/>
        <v>49499</v>
      </c>
      <c r="B55" s="126"/>
      <c r="C55" s="138"/>
      <c r="D55" s="136"/>
      <c r="E55" s="136"/>
      <c r="F55" s="136">
        <v>0.05</v>
      </c>
      <c r="G55" s="136">
        <v>0.04</v>
      </c>
      <c r="H55" s="136">
        <v>0.05</v>
      </c>
      <c r="I55" s="136">
        <v>4.2500000000000003E-2</v>
      </c>
      <c r="J55" s="136">
        <v>4.8750000000000002E-2</v>
      </c>
      <c r="K55" s="136">
        <v>4.4999999999999998E-2</v>
      </c>
      <c r="L55" s="136">
        <v>0.05</v>
      </c>
      <c r="M55" s="137">
        <v>4.1250000000000002E-2</v>
      </c>
      <c r="N55" s="124">
        <f t="shared" si="4"/>
        <v>2035</v>
      </c>
      <c r="O55" s="126">
        <f t="shared" si="54"/>
        <v>49499</v>
      </c>
      <c r="P55" s="130"/>
      <c r="Q55" s="127"/>
      <c r="R55" s="127"/>
      <c r="S55" s="128"/>
      <c r="T55" s="130"/>
      <c r="U55" s="127"/>
      <c r="V55" s="127"/>
      <c r="W55" s="128"/>
      <c r="X55" s="130"/>
      <c r="Y55" s="127"/>
      <c r="Z55" s="127"/>
      <c r="AA55" s="128"/>
      <c r="AB55" s="130"/>
      <c r="AC55" s="127"/>
      <c r="AD55" s="127"/>
      <c r="AE55" s="128"/>
      <c r="AF55" s="130">
        <f>+IF($O55&gt;F$8,"FIN",(F$16-SUM(AG$25:AG54))*VLOOKUP($O55,$A:$N,6,0)/VLOOKUP(F$13,$K$1:$M$4,2,0))</f>
        <v>0.24249999999999972</v>
      </c>
      <c r="AG55" s="127">
        <f t="shared" si="17"/>
        <v>9.6999999999999993</v>
      </c>
      <c r="AH55" s="127">
        <f t="shared" si="18"/>
        <v>9.942499999999999</v>
      </c>
      <c r="AI55" s="128">
        <f t="shared" si="19"/>
        <v>2.415067117164611</v>
      </c>
      <c r="AJ55" s="130">
        <f>+IF($O55&gt;G$8,"FIN",(G$16-SUM(AK$25:AK54))*VLOOKUP($O55,$A:$N,7,0)/VLOOKUP(G$13,$K$1:$M$4,2,0))</f>
        <v>0.19399999999999978</v>
      </c>
      <c r="AK55" s="127">
        <f t="shared" si="20"/>
        <v>9.6999999999999993</v>
      </c>
      <c r="AL55" s="127">
        <f t="shared" si="21"/>
        <v>9.8939999999999984</v>
      </c>
      <c r="AM55" s="128">
        <f t="shared" si="22"/>
        <v>2.4032863019589294</v>
      </c>
      <c r="AN55" s="130">
        <f>+IF($O55&gt;H$8,"FIN",(H$16-SUM(AO$25:AO54))*VLOOKUP($O55,$A:$N,8,0)/VLOOKUP(H$13,$K$1:$M$4,2,0))</f>
        <v>0.68181818181818166</v>
      </c>
      <c r="AO55" s="127">
        <f t="shared" si="23"/>
        <v>4.5454545454545459</v>
      </c>
      <c r="AP55" s="127">
        <f t="shared" si="24"/>
        <v>5.2272727272727275</v>
      </c>
      <c r="AQ55" s="128">
        <f t="shared" si="25"/>
        <v>1.2697223511277587</v>
      </c>
      <c r="AR55" s="130">
        <f>+IF($O55&gt;I$8,"FIN",(I$16-SUM(AS$25:AS54))*VLOOKUP($O55,$A:$N,9,0)/VLOOKUP(I$13,$K$1:$M$4,2,0))</f>
        <v>0.57954545454545447</v>
      </c>
      <c r="AS55" s="127">
        <f t="shared" si="26"/>
        <v>4.5454545454545459</v>
      </c>
      <c r="AT55" s="127">
        <f t="shared" si="27"/>
        <v>5.125</v>
      </c>
      <c r="AU55" s="128">
        <f t="shared" si="28"/>
        <v>1.2448799573013458</v>
      </c>
      <c r="AV55" s="130">
        <f>+IF($O55&gt;J$8,"FIN",(J$16-SUM(AW$25:AW54))*VLOOKUP($O55,$A:$N,10,0)/VLOOKUP(J$13,$K$1:$M$4,2,0))</f>
        <v>1.1316964285714288</v>
      </c>
      <c r="AW55" s="127">
        <f t="shared" si="29"/>
        <v>3.5714285714285716</v>
      </c>
      <c r="AX55" s="127">
        <f t="shared" si="30"/>
        <v>4.703125</v>
      </c>
      <c r="AY55" s="128">
        <f t="shared" si="31"/>
        <v>1.1424050827673937</v>
      </c>
      <c r="AZ55" s="130">
        <f>+IF($O55&gt;K$8,"FIN",(K$16-SUM(BA$25:BA54))*VLOOKUP($O55,$A:$N,11,0)/VLOOKUP(K$13,$K$1:$M$4,2,0))</f>
        <v>1.0446428571428572</v>
      </c>
      <c r="BA55" s="127">
        <f t="shared" si="32"/>
        <v>3.5714285714285716</v>
      </c>
      <c r="BB55" s="127">
        <f t="shared" si="33"/>
        <v>4.6160714285714288</v>
      </c>
      <c r="BC55" s="128">
        <f t="shared" si="34"/>
        <v>1.1212594737365782</v>
      </c>
      <c r="BD55" s="130">
        <f>+IF($O55&gt;L$8,"FIN",(L$16-SUM(BE$25:BE54))*VLOOKUP($O55,$A:$N,12,0)/VLOOKUP(L$13,$K$1:$M$4,2,0))</f>
        <v>1.2676136363636368</v>
      </c>
      <c r="BE55" s="127">
        <f t="shared" si="35"/>
        <v>2.2045454545454546</v>
      </c>
      <c r="BF55" s="127">
        <f t="shared" si="36"/>
        <v>3.4721590909090914</v>
      </c>
      <c r="BG55" s="128">
        <f t="shared" si="37"/>
        <v>0.84339927040671014</v>
      </c>
      <c r="BH55" s="130">
        <f>+IF($O55&gt;M$8,"FIN",(M$16-SUM(BI$25:BI54))*VLOOKUP($O55,$A:$N,13,0)/VLOOKUP(M$13,$K$1:$M$4,2,0))</f>
        <v>1.0457812500000003</v>
      </c>
      <c r="BI55" s="127">
        <f t="shared" si="38"/>
        <v>2.2045454545454546</v>
      </c>
      <c r="BJ55" s="127">
        <f t="shared" si="39"/>
        <v>3.2503267045454551</v>
      </c>
      <c r="BK55" s="128">
        <f t="shared" si="40"/>
        <v>0.78951542813072595</v>
      </c>
      <c r="BL55" s="124"/>
      <c r="BM55" s="130"/>
      <c r="BN55" s="127"/>
      <c r="BO55" s="127"/>
      <c r="BP55" s="130"/>
      <c r="BQ55" s="127"/>
      <c r="BR55" s="128"/>
      <c r="BS55" s="130"/>
      <c r="BT55" s="127"/>
      <c r="BU55" s="127"/>
      <c r="BV55" s="130"/>
      <c r="BW55" s="127"/>
      <c r="BX55" s="128"/>
      <c r="BY55" s="130">
        <f>+IF($O55&gt;F$8,"FIN",(F$19-SUM(BZ$25:BZ54))*VLOOKUP($O55,$A:$N,6,0)/VLOOKUP(F$13,$K$1:$M$4,2,0))</f>
        <v>50.224194099999934</v>
      </c>
      <c r="BZ55" s="131">
        <f t="shared" si="61"/>
        <v>2008.9677640000002</v>
      </c>
      <c r="CA55" s="128">
        <f t="shared" si="45"/>
        <v>2059.1919581000002</v>
      </c>
      <c r="CB55" s="130">
        <f>+IF($O55&gt;G$8,"FIN",(G$19-SUM(CC$25:CC54))*VLOOKUP($O55,$A:$N,7,0)/VLOOKUP(G$13,$K$1:$M$4,2,0))</f>
        <v>4.7040070829246998</v>
      </c>
      <c r="CC55" s="131">
        <f t="shared" si="62"/>
        <v>235.20035414623516</v>
      </c>
      <c r="CD55" s="128">
        <f t="shared" si="46"/>
        <v>239.90436122915986</v>
      </c>
      <c r="CE55" s="130">
        <f>+IF($O55&gt;H$8,"FIN",(H$19-SUM(CF$25:CF54))*VLOOKUP($O55,$A:$N,8,0)/VLOOKUP(H$13,$K$1:$M$4,2,0))</f>
        <v>34.721326936363646</v>
      </c>
      <c r="CF55" s="127">
        <f t="shared" si="63"/>
        <v>231.4755129090909</v>
      </c>
      <c r="CG55" s="128">
        <f t="shared" si="47"/>
        <v>266.19683984545452</v>
      </c>
      <c r="CH55" s="130">
        <f>+IF($O55&gt;I$8,"FIN",(I$19-SUM(CI$25:CI54))*VLOOKUP($O55,$A:$N,9,0)/VLOOKUP(I$13,$K$1:$M$4,2,0))</f>
        <v>33.43429527511362</v>
      </c>
      <c r="CI55" s="131">
        <f t="shared" si="64"/>
        <v>262.22976686363637</v>
      </c>
      <c r="CJ55" s="128">
        <f t="shared" si="48"/>
        <v>295.66406213875001</v>
      </c>
      <c r="CK55" s="130">
        <f>+IF($O55&gt;J$8,"FIN",(J$19-SUM(CL$25:CL54))*VLOOKUP($O55,$A:$N,10,0)/VLOOKUP(J$13,$K$1:$M$4,2,0))</f>
        <v>56.965061480959804</v>
      </c>
      <c r="CL55" s="131">
        <f t="shared" si="65"/>
        <v>179.77139717857145</v>
      </c>
      <c r="CM55" s="128">
        <f t="shared" si="49"/>
        <v>236.73645865953125</v>
      </c>
      <c r="CN55" s="130">
        <f>+IF($O55&gt;K$8,"FIN",(K$19-SUM(CO$25:CO54))*VLOOKUP($O55,$A:$N,11,0)/VLOOKUP(K$13,$K$1:$M$4,2,0))</f>
        <v>67.622062720178548</v>
      </c>
      <c r="CO55" s="131">
        <f t="shared" si="66"/>
        <v>231.18653921428569</v>
      </c>
      <c r="CP55" s="128">
        <f t="shared" si="50"/>
        <v>298.80860193446426</v>
      </c>
      <c r="CQ55" s="130">
        <f>+IF($O55&gt;L$8,"FIN",(L$19-SUM(CR$25:CR54))*VLOOKUP($O55,$A:$N,12,0)/VLOOKUP(L$13,$K$1:$M$4,2,0))</f>
        <v>0</v>
      </c>
      <c r="CR55" s="127">
        <f t="shared" si="67"/>
        <v>0</v>
      </c>
      <c r="CS55" s="128">
        <f t="shared" si="51"/>
        <v>0</v>
      </c>
      <c r="CT55" s="130">
        <f>+IF($O55&gt;M$8,"FIN",(M$19-SUM(CU$25:CU54))*VLOOKUP($O55,$A:$N,13,0)/VLOOKUP(M$13,$K$1:$M$4,2,0))</f>
        <v>0</v>
      </c>
      <c r="CU55" s="127">
        <f t="shared" si="68"/>
        <v>0</v>
      </c>
      <c r="CV55" s="128">
        <f t="shared" si="52"/>
        <v>0</v>
      </c>
      <c r="CX55" s="130">
        <f t="shared" si="69"/>
        <v>266.29064258814179</v>
      </c>
      <c r="CY55" s="127">
        <f t="shared" si="70"/>
        <v>3277.1083118909755</v>
      </c>
      <c r="CZ55" s="128">
        <f t="shared" si="71"/>
        <v>3543.3989544791175</v>
      </c>
      <c r="DA55" s="224">
        <f t="shared" si="72"/>
        <v>14.847222222222221</v>
      </c>
      <c r="DB55" s="225">
        <f t="shared" si="3"/>
        <v>48655.955352936842</v>
      </c>
    </row>
    <row r="56" spans="1:106" s="16" customFormat="1" x14ac:dyDescent="0.25">
      <c r="A56" s="125">
        <f t="shared" si="53"/>
        <v>49683</v>
      </c>
      <c r="B56" s="126"/>
      <c r="C56" s="138"/>
      <c r="D56" s="136"/>
      <c r="E56" s="136"/>
      <c r="F56" s="136"/>
      <c r="G56" s="136"/>
      <c r="H56" s="136">
        <v>0.05</v>
      </c>
      <c r="I56" s="136">
        <v>4.2500000000000003E-2</v>
      </c>
      <c r="J56" s="136">
        <v>4.8750000000000002E-2</v>
      </c>
      <c r="K56" s="136">
        <v>4.4999999999999998E-2</v>
      </c>
      <c r="L56" s="136">
        <v>0.05</v>
      </c>
      <c r="M56" s="137">
        <v>4.1250000000000002E-2</v>
      </c>
      <c r="N56" s="124">
        <f t="shared" si="4"/>
        <v>2036</v>
      </c>
      <c r="O56" s="126">
        <f t="shared" si="54"/>
        <v>49683</v>
      </c>
      <c r="P56" s="129"/>
      <c r="Q56" s="127"/>
      <c r="R56" s="127"/>
      <c r="S56" s="128"/>
      <c r="T56" s="130"/>
      <c r="U56" s="127"/>
      <c r="V56" s="127"/>
      <c r="W56" s="128"/>
      <c r="X56" s="130"/>
      <c r="Y56" s="127"/>
      <c r="Z56" s="127"/>
      <c r="AA56" s="128"/>
      <c r="AB56" s="130"/>
      <c r="AC56" s="127"/>
      <c r="AD56" s="127"/>
      <c r="AE56" s="128"/>
      <c r="AF56" s="130"/>
      <c r="AG56" s="127"/>
      <c r="AH56" s="127"/>
      <c r="AI56" s="128"/>
      <c r="AJ56" s="130"/>
      <c r="AK56" s="127"/>
      <c r="AL56" s="127"/>
      <c r="AM56" s="128"/>
      <c r="AN56" s="130">
        <f>+IF($O56&gt;H$8,"FIN",(H$16-SUM(AO$25:AO55))*VLOOKUP($O56,$A:$N,8,0)/VLOOKUP(H$13,$K$1:$M$4,2,0))</f>
        <v>0.56818181818181801</v>
      </c>
      <c r="AO56" s="127">
        <f t="shared" si="23"/>
        <v>4.5454545454545459</v>
      </c>
      <c r="AP56" s="127">
        <f t="shared" si="24"/>
        <v>5.1136363636363642</v>
      </c>
      <c r="AQ56" s="128">
        <f t="shared" si="25"/>
        <v>1.1843146570395071</v>
      </c>
      <c r="AR56" s="130">
        <f>+IF($O56&gt;I$8,"FIN",(I$16-SUM(AS$25:AS55))*VLOOKUP($O56,$A:$N,9,0)/VLOOKUP(I$13,$K$1:$M$4,2,0))</f>
        <v>0.4829545454545453</v>
      </c>
      <c r="AS56" s="127">
        <f t="shared" si="26"/>
        <v>4.5454545454545459</v>
      </c>
      <c r="AT56" s="127">
        <f t="shared" si="27"/>
        <v>5.0284090909090908</v>
      </c>
      <c r="AU56" s="128">
        <f t="shared" si="28"/>
        <v>1.1645760794221818</v>
      </c>
      <c r="AV56" s="130">
        <f>+IF($O56&gt;J$8,"FIN",(J$16-SUM(AW$25:AW55))*VLOOKUP($O56,$A:$N,10,0)/VLOOKUP(J$13,$K$1:$M$4,2,0))</f>
        <v>1.0446428571428574</v>
      </c>
      <c r="AW56" s="127">
        <f t="shared" si="29"/>
        <v>3.5714285714285716</v>
      </c>
      <c r="AX56" s="127">
        <f t="shared" si="30"/>
        <v>4.6160714285714288</v>
      </c>
      <c r="AY56" s="128">
        <f t="shared" si="31"/>
        <v>1.069078961045028</v>
      </c>
      <c r="AZ56" s="130">
        <f>+IF($O56&gt;K$8,"FIN",(K$16-SUM(BA$25:BA55))*VLOOKUP($O56,$A:$N,11,0)/VLOOKUP(K$13,$K$1:$M$4,2,0))</f>
        <v>0.96428571428571452</v>
      </c>
      <c r="BA56" s="127">
        <f t="shared" si="32"/>
        <v>3.5714285714285716</v>
      </c>
      <c r="BB56" s="127">
        <f t="shared" si="33"/>
        <v>4.5357142857142865</v>
      </c>
      <c r="BC56" s="128">
        <f t="shared" si="34"/>
        <v>1.0504683021486929</v>
      </c>
      <c r="BD56" s="130">
        <f>+IF($O56&gt;L$8,"FIN",(L$16-SUM(BE$25:BE55))*VLOOKUP($O56,$A:$N,12,0)/VLOOKUP(L$13,$K$1:$M$4,2,0))</f>
        <v>1.2125000000000004</v>
      </c>
      <c r="BE56" s="127">
        <f t="shared" si="35"/>
        <v>2.2045454545454546</v>
      </c>
      <c r="BF56" s="127">
        <f t="shared" si="36"/>
        <v>3.4170454545454549</v>
      </c>
      <c r="BG56" s="128">
        <f t="shared" si="37"/>
        <v>0.79138537193728842</v>
      </c>
      <c r="BH56" s="130">
        <f>+IF($O56&gt;M$8,"FIN",(M$16-SUM(BI$25:BI55))*VLOOKUP($O56,$A:$N,13,0)/VLOOKUP(M$13,$K$1:$M$4,2,0))</f>
        <v>1.0003125000000004</v>
      </c>
      <c r="BI56" s="127">
        <f t="shared" si="38"/>
        <v>2.2045454545454546</v>
      </c>
      <c r="BJ56" s="127">
        <f t="shared" si="39"/>
        <v>3.2048579545454547</v>
      </c>
      <c r="BK56" s="128">
        <f t="shared" si="40"/>
        <v>0.74224289319602121</v>
      </c>
      <c r="BL56" s="124"/>
      <c r="BM56" s="129"/>
      <c r="BN56" s="127"/>
      <c r="BO56" s="127"/>
      <c r="BP56" s="130"/>
      <c r="BQ56" s="127"/>
      <c r="BR56" s="128"/>
      <c r="BS56" s="130"/>
      <c r="BT56" s="127"/>
      <c r="BU56" s="127"/>
      <c r="BV56" s="130"/>
      <c r="BW56" s="127"/>
      <c r="BX56" s="128"/>
      <c r="BY56" s="130"/>
      <c r="BZ56" s="131"/>
      <c r="CA56" s="128"/>
      <c r="CB56" s="130"/>
      <c r="CC56" s="127"/>
      <c r="CD56" s="128"/>
      <c r="CE56" s="130">
        <f>+IF($O56&gt;H$8,"FIN",(H$19-SUM(CF$25:CF55))*VLOOKUP($O56,$A:$N,8,0)/VLOOKUP(H$13,$K$1:$M$4,2,0))</f>
        <v>28.934439113636373</v>
      </c>
      <c r="CF56" s="127">
        <f t="shared" si="63"/>
        <v>231.4755129090909</v>
      </c>
      <c r="CG56" s="128">
        <f t="shared" si="47"/>
        <v>260.40995202272728</v>
      </c>
      <c r="CH56" s="130">
        <f>+IF($O56&gt;I$8,"FIN",(I$19-SUM(CI$25:CI55))*VLOOKUP($O56,$A:$N,9,0)/VLOOKUP(I$13,$K$1:$M$4,2,0))</f>
        <v>27.861912729261345</v>
      </c>
      <c r="CI56" s="131">
        <f t="shared" si="64"/>
        <v>262.22976686363637</v>
      </c>
      <c r="CJ56" s="128">
        <f t="shared" si="48"/>
        <v>290.09167959289772</v>
      </c>
      <c r="CK56" s="130">
        <f>+IF($O56&gt;J$8,"FIN",(J$19-SUM(CL$25:CL55))*VLOOKUP($O56,$A:$N,10,0)/VLOOKUP(J$13,$K$1:$M$4,2,0))</f>
        <v>52.583133674732117</v>
      </c>
      <c r="CL56" s="131">
        <f t="shared" si="65"/>
        <v>179.77139717857145</v>
      </c>
      <c r="CM56" s="128">
        <f t="shared" si="49"/>
        <v>232.35453085330357</v>
      </c>
      <c r="CN56" s="130">
        <f>+IF($O56&gt;K$8,"FIN",(K$19-SUM(CO$25:CO55))*VLOOKUP($O56,$A:$N,11,0)/VLOOKUP(K$13,$K$1:$M$4,2,0))</f>
        <v>62.42036558785712</v>
      </c>
      <c r="CO56" s="131">
        <f t="shared" si="66"/>
        <v>231.18653921428569</v>
      </c>
      <c r="CP56" s="128">
        <f t="shared" si="50"/>
        <v>293.60690480214282</v>
      </c>
      <c r="CQ56" s="130">
        <f>+IF($O56&gt;L$8,"FIN",(L$19-SUM(CR$25:CR55))*VLOOKUP($O56,$A:$N,12,0)/VLOOKUP(L$13,$K$1:$M$4,2,0))</f>
        <v>0</v>
      </c>
      <c r="CR56" s="127">
        <f t="shared" si="67"/>
        <v>0</v>
      </c>
      <c r="CS56" s="128">
        <f t="shared" si="51"/>
        <v>0</v>
      </c>
      <c r="CT56" s="130">
        <f>+IF($O56&gt;M$8,"FIN",(M$19-SUM(CU$25:CU55))*VLOOKUP($O56,$A:$N,13,0)/VLOOKUP(M$13,$K$1:$M$4,2,0))</f>
        <v>0</v>
      </c>
      <c r="CU56" s="127">
        <f t="shared" si="68"/>
        <v>0</v>
      </c>
      <c r="CV56" s="128">
        <f t="shared" si="52"/>
        <v>0</v>
      </c>
      <c r="CX56" s="130">
        <f t="shared" si="69"/>
        <v>187.69454364232411</v>
      </c>
      <c r="CY56" s="127">
        <f t="shared" si="70"/>
        <v>991.53187548566552</v>
      </c>
      <c r="CZ56" s="128">
        <f t="shared" si="71"/>
        <v>1179.2264191279896</v>
      </c>
      <c r="DA56" s="224">
        <f t="shared" si="72"/>
        <v>15.347222222222221</v>
      </c>
      <c r="DB56" s="225">
        <f t="shared" si="3"/>
        <v>15217.260033495282</v>
      </c>
    </row>
    <row r="57" spans="1:106" s="16" customFormat="1" x14ac:dyDescent="0.25">
      <c r="A57" s="125">
        <f t="shared" si="53"/>
        <v>49865</v>
      </c>
      <c r="B57" s="126"/>
      <c r="C57" s="138"/>
      <c r="D57" s="136"/>
      <c r="E57" s="136"/>
      <c r="F57" s="136"/>
      <c r="G57" s="136"/>
      <c r="H57" s="136">
        <v>0.05</v>
      </c>
      <c r="I57" s="136">
        <v>4.2500000000000003E-2</v>
      </c>
      <c r="J57" s="136">
        <v>4.8750000000000002E-2</v>
      </c>
      <c r="K57" s="136">
        <v>4.4999999999999998E-2</v>
      </c>
      <c r="L57" s="136">
        <v>0.05</v>
      </c>
      <c r="M57" s="137">
        <v>4.1250000000000002E-2</v>
      </c>
      <c r="N57" s="124">
        <f t="shared" si="4"/>
        <v>2036</v>
      </c>
      <c r="O57" s="126">
        <f t="shared" si="54"/>
        <v>49865</v>
      </c>
      <c r="P57" s="129"/>
      <c r="Q57" s="127"/>
      <c r="R57" s="127"/>
      <c r="S57" s="128"/>
      <c r="T57" s="130"/>
      <c r="U57" s="127"/>
      <c r="V57" s="127"/>
      <c r="W57" s="128"/>
      <c r="X57" s="130"/>
      <c r="Y57" s="127"/>
      <c r="Z57" s="127"/>
      <c r="AA57" s="128"/>
      <c r="AB57" s="130"/>
      <c r="AC57" s="127"/>
      <c r="AD57" s="127"/>
      <c r="AE57" s="128"/>
      <c r="AF57" s="130"/>
      <c r="AG57" s="127"/>
      <c r="AH57" s="127"/>
      <c r="AI57" s="128"/>
      <c r="AJ57" s="130"/>
      <c r="AK57" s="127"/>
      <c r="AL57" s="127"/>
      <c r="AM57" s="128"/>
      <c r="AN57" s="130">
        <f>+IF($O57&gt;H$8,"FIN",(H$16-SUM(AO$25:AO56))*VLOOKUP($O57,$A:$N,8,0)/VLOOKUP(H$13,$K$1:$M$4,2,0))</f>
        <v>0.45454545454545436</v>
      </c>
      <c r="AO57" s="127">
        <f t="shared" si="23"/>
        <v>4.5454545454545459</v>
      </c>
      <c r="AP57" s="127">
        <f t="shared" si="24"/>
        <v>5</v>
      </c>
      <c r="AQ57" s="128">
        <f t="shared" si="25"/>
        <v>1.1041063922850074</v>
      </c>
      <c r="AR57" s="130">
        <f>+IF($O57&gt;I$8,"FIN",(I$16-SUM(AS$25:AS56))*VLOOKUP($O57,$A:$N,9,0)/VLOOKUP(I$13,$K$1:$M$4,2,0))</f>
        <v>0.38636363636363619</v>
      </c>
      <c r="AS57" s="127">
        <f t="shared" si="26"/>
        <v>4.5454545454545459</v>
      </c>
      <c r="AT57" s="127">
        <f t="shared" si="27"/>
        <v>4.9318181818181817</v>
      </c>
      <c r="AU57" s="128">
        <f t="shared" si="28"/>
        <v>1.0890503960265756</v>
      </c>
      <c r="AV57" s="130">
        <f>+IF($O57&gt;J$8,"FIN",(J$16-SUM(AW$25:AW56))*VLOOKUP($O57,$A:$N,10,0)/VLOOKUP(J$13,$K$1:$M$4,2,0))</f>
        <v>0.95758928571428603</v>
      </c>
      <c r="AW57" s="127">
        <f t="shared" si="29"/>
        <v>3.5714285714285716</v>
      </c>
      <c r="AX57" s="127">
        <f t="shared" si="30"/>
        <v>4.5290178571428577</v>
      </c>
      <c r="AY57" s="128">
        <f t="shared" si="31"/>
        <v>1.0001035133688752</v>
      </c>
      <c r="AZ57" s="130">
        <f>+IF($O57&gt;K$8,"FIN",(K$16-SUM(BA$25:BA56))*VLOOKUP($O57,$A:$N,11,0)/VLOOKUP(K$13,$K$1:$M$4,2,0))</f>
        <v>0.88392857142857173</v>
      </c>
      <c r="BA57" s="127">
        <f t="shared" si="32"/>
        <v>3.5714285714285716</v>
      </c>
      <c r="BB57" s="127">
        <f t="shared" si="33"/>
        <v>4.4553571428571432</v>
      </c>
      <c r="BC57" s="128">
        <f t="shared" si="34"/>
        <v>0.98383766026824782</v>
      </c>
      <c r="BD57" s="130">
        <f>+IF($O57&gt;L$8,"FIN",(L$16-SUM(BE$25:BE56))*VLOOKUP($O57,$A:$N,12,0)/VLOOKUP(L$13,$K$1:$M$4,2,0))</f>
        <v>1.1573863636363642</v>
      </c>
      <c r="BE57" s="127">
        <f t="shared" si="35"/>
        <v>2.2045454545454546</v>
      </c>
      <c r="BF57" s="127">
        <f t="shared" si="36"/>
        <v>3.3619318181818185</v>
      </c>
      <c r="BG57" s="128">
        <f t="shared" si="37"/>
        <v>0.74238608217618063</v>
      </c>
      <c r="BH57" s="130">
        <f>+IF($O57&gt;M$8,"FIN",(M$16-SUM(BI$25:BI56))*VLOOKUP($O57,$A:$N,13,0)/VLOOKUP(M$13,$K$1:$M$4,2,0))</f>
        <v>0.95484375000000032</v>
      </c>
      <c r="BI57" s="127">
        <f t="shared" si="38"/>
        <v>2.2045454545454546</v>
      </c>
      <c r="BJ57" s="127">
        <f t="shared" si="39"/>
        <v>3.1593892045454548</v>
      </c>
      <c r="BK57" s="128">
        <f t="shared" si="40"/>
        <v>0.69766036329097636</v>
      </c>
      <c r="BL57" s="124"/>
      <c r="BM57" s="129"/>
      <c r="BN57" s="127"/>
      <c r="BO57" s="127"/>
      <c r="BP57" s="130"/>
      <c r="BQ57" s="127"/>
      <c r="BR57" s="128"/>
      <c r="BS57" s="130"/>
      <c r="BT57" s="127"/>
      <c r="BU57" s="127"/>
      <c r="BV57" s="130"/>
      <c r="BW57" s="127"/>
      <c r="BX57" s="128"/>
      <c r="BY57" s="130"/>
      <c r="BZ57" s="127"/>
      <c r="CA57" s="128"/>
      <c r="CB57" s="130"/>
      <c r="CC57" s="127"/>
      <c r="CD57" s="128"/>
      <c r="CE57" s="130">
        <f>+IF($O57&gt;H$8,"FIN",(H$19-SUM(CF$25:CF56))*VLOOKUP($O57,$A:$N,8,0)/VLOOKUP(H$13,$K$1:$M$4,2,0))</f>
        <v>23.147551290909089</v>
      </c>
      <c r="CF57" s="127">
        <f t="shared" si="63"/>
        <v>231.4755129090909</v>
      </c>
      <c r="CG57" s="128">
        <f t="shared" si="47"/>
        <v>254.62306419999999</v>
      </c>
      <c r="CH57" s="130">
        <f>+IF($O57&gt;I$8,"FIN",(I$19-SUM(CI$25:CI56))*VLOOKUP($O57,$A:$N,9,0)/VLOOKUP(I$13,$K$1:$M$4,2,0))</f>
        <v>22.28953018340907</v>
      </c>
      <c r="CI57" s="131">
        <f t="shared" si="64"/>
        <v>262.22976686363637</v>
      </c>
      <c r="CJ57" s="128">
        <f t="shared" si="48"/>
        <v>284.51929704704543</v>
      </c>
      <c r="CK57" s="130">
        <f>+IF($O57&gt;J$8,"FIN",(J$19-SUM(CL$25:CL56))*VLOOKUP($O57,$A:$N,10,0)/VLOOKUP(J$13,$K$1:$M$4,2,0))</f>
        <v>48.201205868504438</v>
      </c>
      <c r="CL57" s="131">
        <f t="shared" si="65"/>
        <v>179.77139717857145</v>
      </c>
      <c r="CM57" s="128">
        <f t="shared" si="49"/>
        <v>227.97260304707589</v>
      </c>
      <c r="CN57" s="130">
        <f>+IF($O57&gt;K$8,"FIN",(K$19-SUM(CO$25:CO56))*VLOOKUP($O57,$A:$N,11,0)/VLOOKUP(K$13,$K$1:$M$4,2,0))</f>
        <v>57.218668455535685</v>
      </c>
      <c r="CO57" s="131">
        <f t="shared" si="66"/>
        <v>231.18653921428569</v>
      </c>
      <c r="CP57" s="128">
        <f t="shared" si="50"/>
        <v>288.40520766982138</v>
      </c>
      <c r="CQ57" s="130">
        <f>+IF($O57&gt;L$8,"FIN",(L$19-SUM(CR$25:CR56))*VLOOKUP($O57,$A:$N,12,0)/VLOOKUP(L$13,$K$1:$M$4,2,0))</f>
        <v>0</v>
      </c>
      <c r="CR57" s="127">
        <f t="shared" si="67"/>
        <v>0</v>
      </c>
      <c r="CS57" s="128">
        <f t="shared" si="51"/>
        <v>0</v>
      </c>
      <c r="CT57" s="130">
        <f>+IF($O57&gt;M$8,"FIN",(M$19-SUM(CU$25:CU56))*VLOOKUP($O57,$A:$N,13,0)/VLOOKUP(M$13,$K$1:$M$4,2,0))</f>
        <v>0</v>
      </c>
      <c r="CU57" s="127">
        <f t="shared" si="68"/>
        <v>0</v>
      </c>
      <c r="CV57" s="128">
        <f t="shared" si="52"/>
        <v>0</v>
      </c>
      <c r="CX57" s="130">
        <f t="shared" si="69"/>
        <v>164.85481224461256</v>
      </c>
      <c r="CY57" s="127">
        <f t="shared" si="70"/>
        <v>991.53187548566552</v>
      </c>
      <c r="CZ57" s="128">
        <f t="shared" si="71"/>
        <v>1156.386687730278</v>
      </c>
      <c r="DA57" s="224">
        <f t="shared" si="72"/>
        <v>15.847222222222221</v>
      </c>
      <c r="DB57" s="225">
        <f t="shared" si="3"/>
        <v>15713.025971238116</v>
      </c>
    </row>
    <row r="58" spans="1:106" s="16" customFormat="1" x14ac:dyDescent="0.25">
      <c r="A58" s="125">
        <f t="shared" si="53"/>
        <v>50049</v>
      </c>
      <c r="B58" s="126"/>
      <c r="C58" s="138"/>
      <c r="D58" s="136"/>
      <c r="E58" s="136"/>
      <c r="F58" s="136"/>
      <c r="G58" s="136"/>
      <c r="H58" s="136">
        <v>0.05</v>
      </c>
      <c r="I58" s="136">
        <v>4.2500000000000003E-2</v>
      </c>
      <c r="J58" s="136">
        <v>4.8750000000000002E-2</v>
      </c>
      <c r="K58" s="136">
        <v>4.4999999999999998E-2</v>
      </c>
      <c r="L58" s="136">
        <v>0.05</v>
      </c>
      <c r="M58" s="137">
        <v>4.1250000000000002E-2</v>
      </c>
      <c r="N58" s="124">
        <f t="shared" si="4"/>
        <v>2037</v>
      </c>
      <c r="O58" s="126">
        <f t="shared" si="54"/>
        <v>50049</v>
      </c>
      <c r="P58" s="129"/>
      <c r="Q58" s="127"/>
      <c r="R58" s="127"/>
      <c r="S58" s="128"/>
      <c r="T58" s="130"/>
      <c r="U58" s="127"/>
      <c r="V58" s="127"/>
      <c r="W58" s="128"/>
      <c r="X58" s="130"/>
      <c r="Y58" s="127"/>
      <c r="Z58" s="127"/>
      <c r="AA58" s="128"/>
      <c r="AB58" s="130"/>
      <c r="AC58" s="127"/>
      <c r="AD58" s="127"/>
      <c r="AE58" s="128"/>
      <c r="AF58" s="130"/>
      <c r="AG58" s="127"/>
      <c r="AH58" s="127"/>
      <c r="AI58" s="128"/>
      <c r="AJ58" s="130"/>
      <c r="AK58" s="127"/>
      <c r="AL58" s="127"/>
      <c r="AM58" s="128"/>
      <c r="AN58" s="130">
        <f>+IF($O58&gt;H$8,"FIN",(H$16-SUM(AO$25:AO57))*VLOOKUP($O58,$A:$N,8,0)/VLOOKUP(H$13,$K$1:$M$4,2,0))</f>
        <v>0.34090909090909066</v>
      </c>
      <c r="AO58" s="127">
        <f t="shared" si="23"/>
        <v>4.5454545454545459</v>
      </c>
      <c r="AP58" s="127">
        <f t="shared" si="24"/>
        <v>4.8863636363636367</v>
      </c>
      <c r="AQ58" s="128">
        <f t="shared" si="25"/>
        <v>1.0287985909636119</v>
      </c>
      <c r="AR58" s="130">
        <f>+IF($O58&gt;I$8,"FIN",(I$16-SUM(AS$25:AS57))*VLOOKUP($O58,$A:$N,9,0)/VLOOKUP(I$13,$K$1:$M$4,2,0))</f>
        <v>0.28977272727272707</v>
      </c>
      <c r="AS58" s="127">
        <f t="shared" si="26"/>
        <v>4.5454545454545459</v>
      </c>
      <c r="AT58" s="127">
        <f t="shared" si="27"/>
        <v>4.8352272727272734</v>
      </c>
      <c r="AU58" s="128">
        <f t="shared" si="28"/>
        <v>1.0180320940814347</v>
      </c>
      <c r="AV58" s="130">
        <f>+IF($O58&gt;J$8,"FIN",(J$16-SUM(AW$25:AW57))*VLOOKUP($O58,$A:$N,10,0)/VLOOKUP(J$13,$K$1:$M$4,2,0))</f>
        <v>0.87053571428571452</v>
      </c>
      <c r="AW58" s="127">
        <f t="shared" si="29"/>
        <v>3.5714285714285716</v>
      </c>
      <c r="AX58" s="127">
        <f t="shared" si="30"/>
        <v>4.4419642857142865</v>
      </c>
      <c r="AY58" s="128">
        <f t="shared" si="31"/>
        <v>0.93523260615421377</v>
      </c>
      <c r="AZ58" s="130">
        <f>+IF($O58&gt;K$8,"FIN",(K$16-SUM(BA$25:BA57))*VLOOKUP($O58,$A:$N,11,0)/VLOOKUP(K$13,$K$1:$M$4,2,0))</f>
        <v>0.80357142857142871</v>
      </c>
      <c r="BA58" s="127">
        <f t="shared" si="32"/>
        <v>3.5714285714285716</v>
      </c>
      <c r="BB58" s="127">
        <f t="shared" si="33"/>
        <v>4.375</v>
      </c>
      <c r="BC58" s="128">
        <f t="shared" si="34"/>
        <v>0.92113362214183858</v>
      </c>
      <c r="BD58" s="130">
        <f>+IF($O58&gt;L$8,"FIN",(L$16-SUM(BE$25:BE57))*VLOOKUP($O58,$A:$N,12,0)/VLOOKUP(L$13,$K$1:$M$4,2,0))</f>
        <v>1.1022727272727277</v>
      </c>
      <c r="BE58" s="127">
        <f t="shared" ref="BE58:BE77" si="80">+IF($O58&gt;$L$8,"FIN",IF($O58&lt;$L$15,0,$L$16/$L$14))</f>
        <v>2.2045454545454546</v>
      </c>
      <c r="BF58" s="127">
        <f t="shared" si="36"/>
        <v>3.3068181818181825</v>
      </c>
      <c r="BG58" s="128">
        <f t="shared" ref="BG58:BG77" si="81">BF58/(1+$B$5)^(YEARFRAC($O$25,$O58))</f>
        <v>0.69623346504746775</v>
      </c>
      <c r="BH58" s="130">
        <f>+IF($O58&gt;M$8,"FIN",(M$16-SUM(BI$25:BI57))*VLOOKUP($O58,$A:$N,13,0)/VLOOKUP(M$13,$K$1:$M$4,2,0))</f>
        <v>0.90937500000000038</v>
      </c>
      <c r="BI58" s="127">
        <f t="shared" ref="BI58:BI77" si="82">+IF($O58&gt;$M$8,"FIN",IF($O58&lt;$M$15,0,$M$16/$M$14))</f>
        <v>2.2045454545454546</v>
      </c>
      <c r="BJ58" s="127">
        <f t="shared" si="39"/>
        <v>3.1139204545454549</v>
      </c>
      <c r="BK58" s="128">
        <f t="shared" ref="BK58:BK77" si="83">BJ58/(1+$B$5)^(YEARFRAC($O$25,$O58))</f>
        <v>0.65561984625303205</v>
      </c>
      <c r="BL58" s="124"/>
      <c r="BM58" s="129"/>
      <c r="BN58" s="127"/>
      <c r="BO58" s="127"/>
      <c r="BP58" s="130"/>
      <c r="BQ58" s="127"/>
      <c r="BR58" s="128"/>
      <c r="BS58" s="130"/>
      <c r="BT58" s="127"/>
      <c r="BU58" s="127"/>
      <c r="BV58" s="130"/>
      <c r="BW58" s="127"/>
      <c r="BX58" s="128"/>
      <c r="BY58" s="130"/>
      <c r="BZ58" s="127"/>
      <c r="CA58" s="128"/>
      <c r="CB58" s="130"/>
      <c r="CC58" s="127"/>
      <c r="CD58" s="128"/>
      <c r="CE58" s="130">
        <f>+IF($O58&gt;H$8,"FIN",(H$19-SUM(CF$25:CF57))*VLOOKUP($O58,$A:$N,8,0)/VLOOKUP(H$13,$K$1:$M$4,2,0))</f>
        <v>17.360663468181816</v>
      </c>
      <c r="CF58" s="127">
        <f t="shared" si="63"/>
        <v>231.4755129090909</v>
      </c>
      <c r="CG58" s="128">
        <f t="shared" si="47"/>
        <v>248.83617637727272</v>
      </c>
      <c r="CH58" s="130">
        <f>+IF($O58&gt;I$8,"FIN",(I$19-SUM(CI$25:CI57))*VLOOKUP($O58,$A:$N,9,0)/VLOOKUP(I$13,$K$1:$M$4,2,0))</f>
        <v>16.717147637556792</v>
      </c>
      <c r="CI58" s="131">
        <f t="shared" si="64"/>
        <v>262.22976686363637</v>
      </c>
      <c r="CJ58" s="128">
        <f t="shared" si="48"/>
        <v>278.94691450119319</v>
      </c>
      <c r="CK58" s="130">
        <f>+IF($O58&gt;J$8,"FIN",(J$19-SUM(CL$25:CL57))*VLOOKUP($O58,$A:$N,10,0)/VLOOKUP(J$13,$K$1:$M$4,2,0))</f>
        <v>43.819278062276759</v>
      </c>
      <c r="CL58" s="131">
        <f t="shared" si="65"/>
        <v>179.77139717857145</v>
      </c>
      <c r="CM58" s="128">
        <f t="shared" si="49"/>
        <v>223.59067524084821</v>
      </c>
      <c r="CN58" s="130">
        <f>+IF($O58&gt;K$8,"FIN",(K$19-SUM(CO$25:CO57))*VLOOKUP($O58,$A:$N,11,0)/VLOOKUP(K$13,$K$1:$M$4,2,0))</f>
        <v>52.016971323214257</v>
      </c>
      <c r="CO58" s="131">
        <f t="shared" si="66"/>
        <v>231.18653921428569</v>
      </c>
      <c r="CP58" s="128">
        <f t="shared" si="50"/>
        <v>283.20351053749994</v>
      </c>
      <c r="CQ58" s="130">
        <f>+IF($O58&gt;L$8,"FIN",(L$19-SUM(CR$25:CR57))*VLOOKUP($O58,$A:$N,12,0)/VLOOKUP(L$13,$K$1:$M$4,2,0))</f>
        <v>0</v>
      </c>
      <c r="CR58" s="127">
        <f t="shared" si="67"/>
        <v>0</v>
      </c>
      <c r="CS58" s="128">
        <f t="shared" si="51"/>
        <v>0</v>
      </c>
      <c r="CT58" s="130">
        <f>+IF($O58&gt;M$8,"FIN",(M$19-SUM(CU$25:CU57))*VLOOKUP($O58,$A:$N,13,0)/VLOOKUP(M$13,$K$1:$M$4,2,0))</f>
        <v>0</v>
      </c>
      <c r="CU58" s="127">
        <f t="shared" si="68"/>
        <v>0</v>
      </c>
      <c r="CV58" s="128">
        <f t="shared" si="52"/>
        <v>0</v>
      </c>
      <c r="CX58" s="130">
        <f t="shared" si="69"/>
        <v>142.01508084690107</v>
      </c>
      <c r="CY58" s="127">
        <f t="shared" si="70"/>
        <v>991.53187548566552</v>
      </c>
      <c r="CZ58" s="128">
        <f t="shared" si="71"/>
        <v>1133.5469563325667</v>
      </c>
      <c r="DA58" s="224">
        <f t="shared" si="72"/>
        <v>16.347222222222221</v>
      </c>
      <c r="DB58" s="225">
        <f t="shared" si="3"/>
        <v>16208.791908980947</v>
      </c>
    </row>
    <row r="59" spans="1:106" s="16" customFormat="1" x14ac:dyDescent="0.25">
      <c r="A59" s="125">
        <f t="shared" ref="A59:A77" si="84">DATE(YEAR(A58),MONTH(A58)+VLOOKUP($D$13,$K$1:$M$4,3,0),DAY(A58))</f>
        <v>50230</v>
      </c>
      <c r="B59" s="126"/>
      <c r="C59" s="138"/>
      <c r="D59" s="136"/>
      <c r="E59" s="136"/>
      <c r="F59" s="136"/>
      <c r="G59" s="136"/>
      <c r="H59" s="136">
        <v>0.05</v>
      </c>
      <c r="I59" s="136">
        <v>4.2500000000000003E-2</v>
      </c>
      <c r="J59" s="136">
        <v>4.8750000000000002E-2</v>
      </c>
      <c r="K59" s="136">
        <v>4.4999999999999998E-2</v>
      </c>
      <c r="L59" s="136">
        <v>0.05</v>
      </c>
      <c r="M59" s="137">
        <v>4.1250000000000002E-2</v>
      </c>
      <c r="N59" s="124">
        <f t="shared" si="4"/>
        <v>2037</v>
      </c>
      <c r="O59" s="126">
        <f t="shared" ref="O59:O77" si="85">+DATE(YEAR(O58),MONTH(O58)+VLOOKUP(D$13,$K$1:$M$4,3,0),DAY(O58))</f>
        <v>50230</v>
      </c>
      <c r="P59" s="129"/>
      <c r="Q59" s="127"/>
      <c r="R59" s="127"/>
      <c r="S59" s="128"/>
      <c r="T59" s="130"/>
      <c r="U59" s="127"/>
      <c r="V59" s="127"/>
      <c r="W59" s="128"/>
      <c r="X59" s="130"/>
      <c r="Y59" s="127"/>
      <c r="Z59" s="127"/>
      <c r="AA59" s="128"/>
      <c r="AB59" s="130"/>
      <c r="AC59" s="127"/>
      <c r="AD59" s="127"/>
      <c r="AE59" s="128"/>
      <c r="AF59" s="130"/>
      <c r="AG59" s="127"/>
      <c r="AH59" s="127"/>
      <c r="AI59" s="128"/>
      <c r="AJ59" s="130"/>
      <c r="AK59" s="127"/>
      <c r="AL59" s="127"/>
      <c r="AM59" s="128"/>
      <c r="AN59" s="130">
        <f>+IF($O59&gt;H$8,"FIN",(H$16-SUM(AO$25:AO58))*VLOOKUP($O59,$A:$N,8,0)/VLOOKUP(H$13,$K$1:$M$4,2,0))</f>
        <v>0.22727272727272699</v>
      </c>
      <c r="AO59" s="127">
        <f t="shared" si="23"/>
        <v>4.5454545454545459</v>
      </c>
      <c r="AP59" s="127">
        <f t="shared" si="24"/>
        <v>4.7727272727272725</v>
      </c>
      <c r="AQ59" s="128">
        <f t="shared" si="25"/>
        <v>0.95810885280930391</v>
      </c>
      <c r="AR59" s="130">
        <f>+IF($O59&gt;I$8,"FIN",(I$16-SUM(AS$25:AS58))*VLOOKUP($O59,$A:$N,9,0)/VLOOKUP(I$13,$K$1:$M$4,2,0))</f>
        <v>0.19318181818181795</v>
      </c>
      <c r="AS59" s="127">
        <f t="shared" si="26"/>
        <v>4.5454545454545459</v>
      </c>
      <c r="AT59" s="127">
        <f t="shared" si="27"/>
        <v>4.7386363636363642</v>
      </c>
      <c r="AU59" s="128">
        <f t="shared" si="28"/>
        <v>0.95126521814638043</v>
      </c>
      <c r="AV59" s="130">
        <f>+IF($O59&gt;J$8,"FIN",(J$16-SUM(AW$25:AW58))*VLOOKUP($O59,$A:$N,10,0)/VLOOKUP(J$13,$K$1:$M$4,2,0))</f>
        <v>0.78348214285714313</v>
      </c>
      <c r="AW59" s="127">
        <f t="shared" si="29"/>
        <v>3.5714285714285716</v>
      </c>
      <c r="AX59" s="127">
        <f t="shared" si="30"/>
        <v>4.3549107142857144</v>
      </c>
      <c r="AY59" s="128">
        <f t="shared" si="31"/>
        <v>0.87423359226787722</v>
      </c>
      <c r="AZ59" s="130">
        <f>+IF($O59&gt;K$8,"FIN",(K$16-SUM(BA$25:BA58))*VLOOKUP($O59,$A:$N,11,0)/VLOOKUP(K$13,$K$1:$M$4,2,0))</f>
        <v>0.72321428571428592</v>
      </c>
      <c r="BA59" s="127">
        <f t="shared" si="32"/>
        <v>3.5714285714285716</v>
      </c>
      <c r="BB59" s="127">
        <f t="shared" si="33"/>
        <v>4.2946428571428577</v>
      </c>
      <c r="BC59" s="128">
        <f t="shared" si="34"/>
        <v>0.86213502384592311</v>
      </c>
      <c r="BD59" s="130">
        <f>+IF($O59&gt;L$8,"FIN",(L$16-SUM(BE$25:BE58))*VLOOKUP($O59,$A:$N,12,0)/VLOOKUP(L$13,$K$1:$M$4,2,0))</f>
        <v>1.0471590909090913</v>
      </c>
      <c r="BE59" s="127">
        <f t="shared" si="80"/>
        <v>2.2045454545454546</v>
      </c>
      <c r="BF59" s="127">
        <f t="shared" si="36"/>
        <v>3.2517045454545457</v>
      </c>
      <c r="BG59" s="128">
        <f t="shared" si="81"/>
        <v>0.65276868626519602</v>
      </c>
      <c r="BH59" s="130">
        <f>+IF($O59&gt;M$8,"FIN",(M$16-SUM(BI$25:BI58))*VLOOKUP($O59,$A:$N,13,0)/VLOOKUP(M$13,$K$1:$M$4,2,0))</f>
        <v>0.86390625000000043</v>
      </c>
      <c r="BI59" s="127">
        <f t="shared" si="82"/>
        <v>2.2045454545454546</v>
      </c>
      <c r="BJ59" s="127">
        <f t="shared" si="39"/>
        <v>3.0684517045454549</v>
      </c>
      <c r="BK59" s="128">
        <f t="shared" si="83"/>
        <v>0.6159812984375389</v>
      </c>
      <c r="BL59" s="124"/>
      <c r="BM59" s="129"/>
      <c r="BN59" s="127"/>
      <c r="BO59" s="127"/>
      <c r="BP59" s="130"/>
      <c r="BQ59" s="127"/>
      <c r="BR59" s="128"/>
      <c r="BS59" s="130"/>
      <c r="BT59" s="127"/>
      <c r="BU59" s="127"/>
      <c r="BV59" s="130"/>
      <c r="BW59" s="127"/>
      <c r="BX59" s="128"/>
      <c r="BY59" s="130"/>
      <c r="BZ59" s="127"/>
      <c r="CA59" s="128"/>
      <c r="CB59" s="130"/>
      <c r="CC59" s="127"/>
      <c r="CD59" s="128"/>
      <c r="CE59" s="130">
        <f>+IF($O59&gt;H$8,"FIN",(H$19-SUM(CF$25:CF58))*VLOOKUP($O59,$A:$N,8,0)/VLOOKUP(H$13,$K$1:$M$4,2,0))</f>
        <v>11.573775645454544</v>
      </c>
      <c r="CF59" s="127">
        <f t="shared" si="63"/>
        <v>231.4755129090909</v>
      </c>
      <c r="CG59" s="128">
        <f t="shared" si="47"/>
        <v>243.04928855454543</v>
      </c>
      <c r="CH59" s="130">
        <f>+IF($O59&gt;I$8,"FIN",(I$19-SUM(CI$25:CI58))*VLOOKUP($O59,$A:$N,9,0)/VLOOKUP(I$13,$K$1:$M$4,2,0))</f>
        <v>11.144765091704516</v>
      </c>
      <c r="CI59" s="131">
        <f t="shared" si="64"/>
        <v>262.22976686363637</v>
      </c>
      <c r="CJ59" s="128">
        <f t="shared" si="48"/>
        <v>273.3745319553409</v>
      </c>
      <c r="CK59" s="130">
        <f>+IF($O59&gt;J$8,"FIN",(J$19-SUM(CL$25:CL58))*VLOOKUP($O59,$A:$N,10,0)/VLOOKUP(J$13,$K$1:$M$4,2,0))</f>
        <v>39.437350256049079</v>
      </c>
      <c r="CL59" s="131">
        <f t="shared" si="65"/>
        <v>179.77139717857145</v>
      </c>
      <c r="CM59" s="128">
        <f t="shared" si="49"/>
        <v>219.20874743462053</v>
      </c>
      <c r="CN59" s="130">
        <f>+IF($O59&gt;K$8,"FIN",(K$19-SUM(CO$25:CO58))*VLOOKUP($O59,$A:$N,11,0)/VLOOKUP(K$13,$K$1:$M$4,2,0))</f>
        <v>46.815274190892836</v>
      </c>
      <c r="CO59" s="131">
        <f t="shared" si="66"/>
        <v>231.18653921428569</v>
      </c>
      <c r="CP59" s="128">
        <f t="shared" si="50"/>
        <v>278.0018134051785</v>
      </c>
      <c r="CQ59" s="130">
        <f>+IF($O59&gt;L$8,"FIN",(L$19-SUM(CR$25:CR58))*VLOOKUP($O59,$A:$N,12,0)/VLOOKUP(L$13,$K$1:$M$4,2,0))</f>
        <v>0</v>
      </c>
      <c r="CR59" s="127">
        <f t="shared" ref="CR59:CR77" si="86">+IF($O59&gt;$L$8,"FIN",IF($O59&lt;$L$15,0,$L$19/$L$14))</f>
        <v>0</v>
      </c>
      <c r="CS59" s="128">
        <f t="shared" si="51"/>
        <v>0</v>
      </c>
      <c r="CT59" s="130">
        <f>+IF($O59&gt;M$8,"FIN",(M$19-SUM(CU$25:CU58))*VLOOKUP($O59,$A:$N,13,0)/VLOOKUP(M$13,$K$1:$M$4,2,0))</f>
        <v>0</v>
      </c>
      <c r="CU59" s="127">
        <f t="shared" ref="CU59:CU77" si="87">+IF($O58&gt;$M$8,"FIN",IF($O58&lt;$M$15,0,$M$19/$M$14))</f>
        <v>0</v>
      </c>
      <c r="CV59" s="128">
        <f t="shared" si="52"/>
        <v>0</v>
      </c>
      <c r="CX59" s="130">
        <f t="shared" si="69"/>
        <v>119.17534944918955</v>
      </c>
      <c r="CY59" s="127">
        <f t="shared" si="70"/>
        <v>991.53187548566552</v>
      </c>
      <c r="CZ59" s="128">
        <f t="shared" si="71"/>
        <v>1110.707224934855</v>
      </c>
      <c r="DA59" s="224">
        <f t="shared" si="72"/>
        <v>16.847222222222221</v>
      </c>
      <c r="DB59" s="225">
        <f t="shared" si="3"/>
        <v>16704.557846723779</v>
      </c>
    </row>
    <row r="60" spans="1:106" s="16" customFormat="1" x14ac:dyDescent="0.25">
      <c r="A60" s="125">
        <f t="shared" si="84"/>
        <v>50414</v>
      </c>
      <c r="B60" s="126"/>
      <c r="C60" s="138"/>
      <c r="D60" s="136"/>
      <c r="E60" s="136"/>
      <c r="F60" s="136"/>
      <c r="G60" s="136"/>
      <c r="H60" s="136">
        <v>0.05</v>
      </c>
      <c r="I60" s="136">
        <v>4.2500000000000003E-2</v>
      </c>
      <c r="J60" s="136">
        <v>4.8750000000000002E-2</v>
      </c>
      <c r="K60" s="136">
        <v>4.4999999999999998E-2</v>
      </c>
      <c r="L60" s="136">
        <v>0.05</v>
      </c>
      <c r="M60" s="137">
        <v>4.1250000000000002E-2</v>
      </c>
      <c r="N60" s="124">
        <f t="shared" si="4"/>
        <v>2038</v>
      </c>
      <c r="O60" s="126">
        <f t="shared" si="85"/>
        <v>50414</v>
      </c>
      <c r="P60" s="129"/>
      <c r="Q60" s="127"/>
      <c r="R60" s="127"/>
      <c r="S60" s="128"/>
      <c r="T60" s="130"/>
      <c r="U60" s="127"/>
      <c r="V60" s="127"/>
      <c r="W60" s="128"/>
      <c r="X60" s="130"/>
      <c r="Y60" s="127"/>
      <c r="Z60" s="127"/>
      <c r="AA60" s="128"/>
      <c r="AB60" s="130"/>
      <c r="AC60" s="127"/>
      <c r="AD60" s="127"/>
      <c r="AE60" s="128"/>
      <c r="AF60" s="130"/>
      <c r="AG60" s="127"/>
      <c r="AH60" s="127"/>
      <c r="AI60" s="128"/>
      <c r="AJ60" s="130"/>
      <c r="AK60" s="127"/>
      <c r="AL60" s="127"/>
      <c r="AM60" s="128"/>
      <c r="AN60" s="130">
        <f>+IF($O60&gt;H$8,"FIN",(H$16-SUM(AO$25:AO59))*VLOOKUP($O60,$A:$N,8,0)/VLOOKUP(H$13,$K$1:$M$4,2,0))</f>
        <v>0.11363636363636331</v>
      </c>
      <c r="AO60" s="127">
        <f t="shared" si="23"/>
        <v>4.5454545454545459</v>
      </c>
      <c r="AP60" s="127">
        <f t="shared" si="24"/>
        <v>4.6590909090909092</v>
      </c>
      <c r="AQ60" s="128">
        <f t="shared" si="25"/>
        <v>0.89177044882680945</v>
      </c>
      <c r="AR60" s="130">
        <f>+IF($O60&gt;I$8,"FIN",(I$16-SUM(AS$25:AS59))*VLOOKUP($O60,$A:$N,9,0)/VLOOKUP(I$13,$K$1:$M$4,2,0))</f>
        <v>9.6590909090908825E-2</v>
      </c>
      <c r="AS60" s="127">
        <f t="shared" si="26"/>
        <v>4.5454545454545459</v>
      </c>
      <c r="AT60" s="127">
        <f t="shared" si="27"/>
        <v>4.642045454545455</v>
      </c>
      <c r="AU60" s="128">
        <f t="shared" si="28"/>
        <v>0.88850787401402853</v>
      </c>
      <c r="AV60" s="130">
        <f>+IF($O60&gt;J$8,"FIN",(J$16-SUM(AW$25:AW59))*VLOOKUP($O60,$A:$N,10,0)/VLOOKUP(J$13,$K$1:$M$4,2,0))</f>
        <v>0.69642857142857173</v>
      </c>
      <c r="AW60" s="127">
        <f t="shared" si="29"/>
        <v>3.5714285714285716</v>
      </c>
      <c r="AX60" s="127">
        <f t="shared" si="30"/>
        <v>4.2678571428571432</v>
      </c>
      <c r="AY60" s="128">
        <f t="shared" si="31"/>
        <v>0.81688658883821674</v>
      </c>
      <c r="AZ60" s="130">
        <f>+IF($O60&gt;K$8,"FIN",(K$16-SUM(BA$25:BA59))*VLOOKUP($O60,$A:$N,11,0)/VLOOKUP(K$13,$K$1:$M$4,2,0))</f>
        <v>0.64285714285714313</v>
      </c>
      <c r="BA60" s="127">
        <f t="shared" si="32"/>
        <v>3.5714285714285716</v>
      </c>
      <c r="BB60" s="127">
        <f t="shared" si="33"/>
        <v>4.2142857142857144</v>
      </c>
      <c r="BC60" s="128">
        <f t="shared" si="34"/>
        <v>0.80663278228376212</v>
      </c>
      <c r="BD60" s="130">
        <f>+IF($O60&gt;L$8,"FIN",(L$16-SUM(BE$25:BE59))*VLOOKUP($O60,$A:$N,12,0)/VLOOKUP(L$13,$K$1:$M$4,2,0))</f>
        <v>0.99204545454545512</v>
      </c>
      <c r="BE60" s="127">
        <f t="shared" si="80"/>
        <v>2.2045454545454546</v>
      </c>
      <c r="BF60" s="127">
        <f t="shared" si="36"/>
        <v>3.1965909090909097</v>
      </c>
      <c r="BG60" s="128">
        <f t="shared" si="81"/>
        <v>0.61184152989019891</v>
      </c>
      <c r="BH60" s="130">
        <f>+IF($O60&gt;M$8,"FIN",(M$16-SUM(BI$25:BI59))*VLOOKUP($O60,$A:$N,13,0)/VLOOKUP(M$13,$K$1:$M$4,2,0))</f>
        <v>0.81843750000000048</v>
      </c>
      <c r="BI60" s="127">
        <f t="shared" si="82"/>
        <v>2.2045454545454546</v>
      </c>
      <c r="BJ60" s="127">
        <f t="shared" si="39"/>
        <v>3.022982954545455</v>
      </c>
      <c r="BK60" s="128">
        <f t="shared" si="83"/>
        <v>0.57861220542202429</v>
      </c>
      <c r="BL60" s="124"/>
      <c r="BM60" s="129"/>
      <c r="BN60" s="127"/>
      <c r="BO60" s="127"/>
      <c r="BP60" s="130"/>
      <c r="BQ60" s="127"/>
      <c r="BR60" s="128"/>
      <c r="BS60" s="130"/>
      <c r="BT60" s="127"/>
      <c r="BU60" s="127"/>
      <c r="BV60" s="130"/>
      <c r="BW60" s="127"/>
      <c r="BX60" s="128"/>
      <c r="BY60" s="130"/>
      <c r="BZ60" s="127"/>
      <c r="CA60" s="128"/>
      <c r="CB60" s="130"/>
      <c r="CC60" s="127"/>
      <c r="CD60" s="128"/>
      <c r="CE60" s="130">
        <f>+IF($O60&gt;H$8,"FIN",(H$19-SUM(CF$25:CF59))*VLOOKUP($O60,$A:$N,8,0)/VLOOKUP(H$13,$K$1:$M$4,2,0))</f>
        <v>5.7868878227272722</v>
      </c>
      <c r="CF60" s="127">
        <f t="shared" si="63"/>
        <v>231.4755129090909</v>
      </c>
      <c r="CG60" s="128">
        <f t="shared" si="47"/>
        <v>237.26240073181816</v>
      </c>
      <c r="CH60" s="130">
        <f>+IF($O60&gt;I$8,"FIN",(I$19-SUM(CI$25:CI59))*VLOOKUP($O60,$A:$N,9,0)/VLOOKUP(I$13,$K$1:$M$4,2,0))</f>
        <v>5.5723825458522382</v>
      </c>
      <c r="CI60" s="131">
        <f t="shared" si="64"/>
        <v>262.22976686363637</v>
      </c>
      <c r="CJ60" s="128">
        <f t="shared" si="48"/>
        <v>267.80214940948861</v>
      </c>
      <c r="CK60" s="130">
        <f>+IF($O60&gt;J$8,"FIN",(J$19-SUM(CL$25:CL59))*VLOOKUP($O60,$A:$N,10,0)/VLOOKUP(J$13,$K$1:$M$4,2,0))</f>
        <v>35.055422449821393</v>
      </c>
      <c r="CL60" s="131">
        <f t="shared" si="65"/>
        <v>179.77139717857145</v>
      </c>
      <c r="CM60" s="128">
        <f t="shared" si="49"/>
        <v>214.82681962839285</v>
      </c>
      <c r="CN60" s="130">
        <f>+IF($O60&gt;K$8,"FIN",(K$19-SUM(CO$25:CO59))*VLOOKUP($O60,$A:$N,11,0)/VLOOKUP(K$13,$K$1:$M$4,2,0))</f>
        <v>41.613577058571416</v>
      </c>
      <c r="CO60" s="131">
        <f t="shared" si="66"/>
        <v>231.18653921428569</v>
      </c>
      <c r="CP60" s="128">
        <f t="shared" si="50"/>
        <v>272.80011627285711</v>
      </c>
      <c r="CQ60" s="130">
        <f>+IF($O60&gt;L$8,"FIN",(L$19-SUM(CR$25:CR59))*VLOOKUP($O60,$A:$N,12,0)/VLOOKUP(L$13,$K$1:$M$4,2,0))</f>
        <v>0</v>
      </c>
      <c r="CR60" s="127">
        <f t="shared" si="86"/>
        <v>0</v>
      </c>
      <c r="CS60" s="128">
        <f t="shared" si="51"/>
        <v>0</v>
      </c>
      <c r="CT60" s="130">
        <f>+IF($O60&gt;M$8,"FIN",(M$19-SUM(CU$25:CU59))*VLOOKUP($O60,$A:$N,13,0)/VLOOKUP(M$13,$K$1:$M$4,2,0))</f>
        <v>0</v>
      </c>
      <c r="CU60" s="127">
        <f t="shared" si="87"/>
        <v>0</v>
      </c>
      <c r="CV60" s="128">
        <f t="shared" si="52"/>
        <v>0</v>
      </c>
      <c r="CX60" s="130">
        <f t="shared" si="69"/>
        <v>96.33561805147805</v>
      </c>
      <c r="CY60" s="127">
        <f t="shared" si="70"/>
        <v>991.53187548566552</v>
      </c>
      <c r="CZ60" s="128">
        <f t="shared" si="71"/>
        <v>1087.8674935371437</v>
      </c>
      <c r="DA60" s="224">
        <f t="shared" si="72"/>
        <v>17.347222222222221</v>
      </c>
      <c r="DB60" s="225">
        <f t="shared" si="3"/>
        <v>17200.323784466615</v>
      </c>
    </row>
    <row r="61" spans="1:106" s="16" customFormat="1" x14ac:dyDescent="0.25">
      <c r="A61" s="125">
        <f t="shared" si="84"/>
        <v>50595</v>
      </c>
      <c r="B61" s="126"/>
      <c r="C61" s="138"/>
      <c r="D61" s="136"/>
      <c r="E61" s="136"/>
      <c r="F61" s="136"/>
      <c r="G61" s="136"/>
      <c r="H61" s="136">
        <v>0.05</v>
      </c>
      <c r="I61" s="136">
        <v>4.2500000000000003E-2</v>
      </c>
      <c r="J61" s="136">
        <v>4.8750000000000002E-2</v>
      </c>
      <c r="K61" s="136">
        <v>4.4999999999999998E-2</v>
      </c>
      <c r="L61" s="136">
        <v>0.05</v>
      </c>
      <c r="M61" s="137">
        <v>4.1250000000000002E-2</v>
      </c>
      <c r="N61" s="124">
        <f t="shared" si="4"/>
        <v>2038</v>
      </c>
      <c r="O61" s="126">
        <f t="shared" si="85"/>
        <v>50595</v>
      </c>
      <c r="P61" s="129"/>
      <c r="Q61" s="127"/>
      <c r="R61" s="127"/>
      <c r="S61" s="128"/>
      <c r="T61" s="130"/>
      <c r="U61" s="127"/>
      <c r="V61" s="127"/>
      <c r="W61" s="128"/>
      <c r="X61" s="130"/>
      <c r="Y61" s="127"/>
      <c r="Z61" s="127"/>
      <c r="AA61" s="128"/>
      <c r="AB61" s="130"/>
      <c r="AC61" s="127"/>
      <c r="AD61" s="127"/>
      <c r="AE61" s="128"/>
      <c r="AF61" s="130"/>
      <c r="AG61" s="127"/>
      <c r="AH61" s="127"/>
      <c r="AI61" s="128"/>
      <c r="AJ61" s="130"/>
      <c r="AK61" s="127"/>
      <c r="AL61" s="127"/>
      <c r="AM61" s="128"/>
      <c r="AN61" s="130" t="str">
        <f>+IF($O61&gt;H$8,"FIN",(H$16-SUM(AO$25:AO60))*VLOOKUP($O61,$A:$N,8,0)/VLOOKUP(H$13,$K$1:$M$4,2,0))</f>
        <v>FIN</v>
      </c>
      <c r="AO61" s="127" t="str">
        <f t="shared" si="23"/>
        <v>FIN</v>
      </c>
      <c r="AP61" s="127">
        <f t="shared" si="24"/>
        <v>0</v>
      </c>
      <c r="AQ61" s="128">
        <f t="shared" si="25"/>
        <v>0</v>
      </c>
      <c r="AR61" s="130" t="str">
        <f>+IF($O61&gt;I$8,"FIN",(I$16-SUM(AS$25:AS60))*VLOOKUP($O61,$A:$N,9,0)/VLOOKUP(I$13,$K$1:$M$4,2,0))</f>
        <v>FIN</v>
      </c>
      <c r="AS61" s="127" t="str">
        <f t="shared" si="26"/>
        <v>FIN</v>
      </c>
      <c r="AT61" s="127">
        <f t="shared" si="27"/>
        <v>0</v>
      </c>
      <c r="AU61" s="128">
        <f t="shared" si="28"/>
        <v>0</v>
      </c>
      <c r="AV61" s="130">
        <f>+IF($O61&gt;J$8,"FIN",(J$16-SUM(AW$25:AW60))*VLOOKUP($O61,$A:$N,10,0)/VLOOKUP(J$13,$K$1:$M$4,2,0))</f>
        <v>0.60937500000000033</v>
      </c>
      <c r="AW61" s="127">
        <f t="shared" si="29"/>
        <v>3.5714285714285716</v>
      </c>
      <c r="AX61" s="127">
        <f t="shared" si="30"/>
        <v>4.1808035714285721</v>
      </c>
      <c r="AY61" s="128">
        <f t="shared" si="31"/>
        <v>0.76298379307475594</v>
      </c>
      <c r="AZ61" s="130">
        <f>+IF($O61&gt;K$8,"FIN",(K$16-SUM(BA$25:BA60))*VLOOKUP($O61,$A:$N,11,0)/VLOOKUP(K$13,$K$1:$M$4,2,0))</f>
        <v>0.56250000000000033</v>
      </c>
      <c r="BA61" s="127">
        <f t="shared" si="32"/>
        <v>3.5714285714285716</v>
      </c>
      <c r="BB61" s="127">
        <f t="shared" si="33"/>
        <v>4.1339285714285721</v>
      </c>
      <c r="BC61" s="128">
        <f t="shared" si="34"/>
        <v>0.75442924974610148</v>
      </c>
      <c r="BD61" s="130">
        <f>+IF($O61&gt;L$8,"FIN",(L$16-SUM(BE$25:BE60))*VLOOKUP($O61,$A:$N,12,0)/VLOOKUP(L$13,$K$1:$M$4,2,0))</f>
        <v>0.9369318181818187</v>
      </c>
      <c r="BE61" s="127">
        <f t="shared" si="80"/>
        <v>2.2045454545454546</v>
      </c>
      <c r="BF61" s="127">
        <f t="shared" si="36"/>
        <v>3.1414772727272733</v>
      </c>
      <c r="BG61" s="128">
        <f t="shared" si="81"/>
        <v>0.57330994017128145</v>
      </c>
      <c r="BH61" s="130">
        <f>+IF($O61&gt;M$8,"FIN",(M$16-SUM(BI$25:BI60))*VLOOKUP($O61,$A:$N,13,0)/VLOOKUP(M$13,$K$1:$M$4,2,0))</f>
        <v>0.77296875000000043</v>
      </c>
      <c r="BI61" s="127">
        <f t="shared" si="82"/>
        <v>2.2045454545454546</v>
      </c>
      <c r="BJ61" s="127">
        <f t="shared" si="39"/>
        <v>2.977514204545455</v>
      </c>
      <c r="BK61" s="128">
        <f t="shared" si="83"/>
        <v>0.54338718452199097</v>
      </c>
      <c r="BL61" s="124"/>
      <c r="BM61" s="129"/>
      <c r="BN61" s="127"/>
      <c r="BO61" s="127"/>
      <c r="BP61" s="130"/>
      <c r="BQ61" s="127"/>
      <c r="BR61" s="128"/>
      <c r="BS61" s="130"/>
      <c r="BT61" s="127"/>
      <c r="BU61" s="127"/>
      <c r="BV61" s="130"/>
      <c r="BW61" s="127"/>
      <c r="BX61" s="128"/>
      <c r="BY61" s="130"/>
      <c r="BZ61" s="127"/>
      <c r="CA61" s="128"/>
      <c r="CB61" s="130"/>
      <c r="CC61" s="127"/>
      <c r="CD61" s="128"/>
      <c r="CE61" s="130"/>
      <c r="CF61" s="127"/>
      <c r="CG61" s="128"/>
      <c r="CH61" s="130"/>
      <c r="CI61" s="131"/>
      <c r="CJ61" s="128"/>
      <c r="CK61" s="130">
        <f>+IF($O61&gt;J$8,"FIN",(J$19-SUM(CL$25:CL60))*VLOOKUP($O61,$A:$N,10,0)/VLOOKUP(J$13,$K$1:$M$4,2,0))</f>
        <v>30.673494643593713</v>
      </c>
      <c r="CL61" s="131">
        <f t="shared" si="65"/>
        <v>179.77139717857145</v>
      </c>
      <c r="CM61" s="128">
        <f t="shared" si="49"/>
        <v>210.44489182216518</v>
      </c>
      <c r="CN61" s="130">
        <f>+IF($O61&gt;K$8,"FIN",(K$19-SUM(CO$25:CO60))*VLOOKUP($O61,$A:$N,11,0)/VLOOKUP(K$13,$K$1:$M$4,2,0))</f>
        <v>36.411879926249988</v>
      </c>
      <c r="CO61" s="131">
        <f t="shared" si="66"/>
        <v>231.18653921428569</v>
      </c>
      <c r="CP61" s="128">
        <f t="shared" si="50"/>
        <v>267.59841914053567</v>
      </c>
      <c r="CQ61" s="130">
        <f>+IF($O61&gt;L$8,"FIN",(L$19-SUM(CR$25:CR60))*VLOOKUP($O61,$A:$N,12,0)/VLOOKUP(L$13,$K$1:$M$4,2,0))</f>
        <v>0</v>
      </c>
      <c r="CR61" s="127">
        <f t="shared" si="86"/>
        <v>0</v>
      </c>
      <c r="CS61" s="128">
        <f t="shared" si="51"/>
        <v>0</v>
      </c>
      <c r="CT61" s="130">
        <f>+IF($O61&gt;M$8,"FIN",(M$19-SUM(CU$25:CU60))*VLOOKUP($O61,$A:$N,13,0)/VLOOKUP(M$13,$K$1:$M$4,2,0))</f>
        <v>0</v>
      </c>
      <c r="CU61" s="127">
        <f t="shared" si="87"/>
        <v>0</v>
      </c>
      <c r="CV61" s="128">
        <f t="shared" si="52"/>
        <v>0</v>
      </c>
      <c r="CX61" s="130">
        <f t="shared" si="69"/>
        <v>73.495886653766576</v>
      </c>
      <c r="CY61" s="127">
        <f t="shared" si="70"/>
        <v>451.6596004177643</v>
      </c>
      <c r="CZ61" s="128">
        <f t="shared" si="71"/>
        <v>525.15548707153084</v>
      </c>
      <c r="DA61" s="224">
        <f t="shared" si="72"/>
        <v>17.847222222222221</v>
      </c>
      <c r="DB61" s="225">
        <f t="shared" si="3"/>
        <v>8060.8692574559318</v>
      </c>
    </row>
    <row r="62" spans="1:106" s="16" customFormat="1" x14ac:dyDescent="0.25">
      <c r="A62" s="125">
        <f t="shared" si="84"/>
        <v>50779</v>
      </c>
      <c r="B62" s="126"/>
      <c r="C62" s="138"/>
      <c r="D62" s="139"/>
      <c r="E62" s="139"/>
      <c r="F62" s="139"/>
      <c r="G62" s="139"/>
      <c r="H62" s="136"/>
      <c r="I62" s="136"/>
      <c r="J62" s="136">
        <v>4.8750000000000002E-2</v>
      </c>
      <c r="K62" s="136">
        <v>4.4999999999999998E-2</v>
      </c>
      <c r="L62" s="136">
        <v>0.05</v>
      </c>
      <c r="M62" s="137">
        <v>4.1250000000000002E-2</v>
      </c>
      <c r="N62" s="124">
        <f t="shared" si="4"/>
        <v>2039</v>
      </c>
      <c r="O62" s="126">
        <f t="shared" si="85"/>
        <v>50779</v>
      </c>
      <c r="P62" s="129"/>
      <c r="Q62" s="127"/>
      <c r="R62" s="127"/>
      <c r="S62" s="128"/>
      <c r="T62" s="130"/>
      <c r="U62" s="127"/>
      <c r="V62" s="127"/>
      <c r="W62" s="128"/>
      <c r="X62" s="130"/>
      <c r="Y62" s="127"/>
      <c r="Z62" s="127"/>
      <c r="AA62" s="128"/>
      <c r="AB62" s="130"/>
      <c r="AC62" s="127"/>
      <c r="AD62" s="127"/>
      <c r="AE62" s="128"/>
      <c r="AF62" s="130"/>
      <c r="AG62" s="127"/>
      <c r="AH62" s="127"/>
      <c r="AI62" s="128"/>
      <c r="AJ62" s="130"/>
      <c r="AK62" s="127"/>
      <c r="AL62" s="127"/>
      <c r="AM62" s="128"/>
      <c r="AN62" s="130"/>
      <c r="AO62" s="127"/>
      <c r="AP62" s="127"/>
      <c r="AQ62" s="128"/>
      <c r="AR62" s="130"/>
      <c r="AS62" s="127"/>
      <c r="AT62" s="127"/>
      <c r="AU62" s="128"/>
      <c r="AV62" s="130">
        <f>+IF($O62&gt;J$8,"FIN",(J$16-SUM(AW$25:AW61))*VLOOKUP($O62,$A:$N,10,0)/VLOOKUP(J$13,$K$1:$M$4,2,0))</f>
        <v>0.52232142857142894</v>
      </c>
      <c r="AW62" s="127">
        <f t="shared" si="29"/>
        <v>3.5714285714285716</v>
      </c>
      <c r="AX62" s="127">
        <f t="shared" si="30"/>
        <v>4.0937500000000009</v>
      </c>
      <c r="AY62" s="128">
        <f t="shared" si="31"/>
        <v>0.71232883412385406</v>
      </c>
      <c r="AZ62" s="130">
        <f>+IF($O62&gt;K$8,"FIN",(K$16-SUM(BA$25:BA61))*VLOOKUP($O62,$A:$N,11,0)/VLOOKUP(K$13,$K$1:$M$4,2,0))</f>
        <v>0.48214285714285748</v>
      </c>
      <c r="BA62" s="127">
        <f t="shared" si="32"/>
        <v>3.5714285714285716</v>
      </c>
      <c r="BB62" s="127">
        <f t="shared" si="33"/>
        <v>4.0535714285714288</v>
      </c>
      <c r="BC62" s="128">
        <f t="shared" si="34"/>
        <v>0.70533760238218035</v>
      </c>
      <c r="BD62" s="130">
        <f>+IF($O62&gt;L$8,"FIN",(L$16-SUM(BE$25:BE61))*VLOOKUP($O62,$A:$N,12,0)/VLOOKUP(L$13,$K$1:$M$4,2,0))</f>
        <v>0.88181818181818239</v>
      </c>
      <c r="BE62" s="127">
        <f t="shared" si="80"/>
        <v>2.2045454545454546</v>
      </c>
      <c r="BF62" s="127">
        <f t="shared" si="36"/>
        <v>3.0863636363636369</v>
      </c>
      <c r="BG62" s="128">
        <f t="shared" si="81"/>
        <v>0.53703958736443791</v>
      </c>
      <c r="BH62" s="130">
        <f>+IF($O62&gt;M$8,"FIN",(M$16-SUM(BI$25:BI61))*VLOOKUP($O62,$A:$N,13,0)/VLOOKUP(M$13,$K$1:$M$4,2,0))</f>
        <v>0.72750000000000048</v>
      </c>
      <c r="BI62" s="127">
        <f t="shared" si="82"/>
        <v>2.2045454545454546</v>
      </c>
      <c r="BJ62" s="127">
        <f t="shared" si="39"/>
        <v>2.9320454545454551</v>
      </c>
      <c r="BK62" s="128">
        <f t="shared" si="83"/>
        <v>0.51018760799621599</v>
      </c>
      <c r="BL62" s="124"/>
      <c r="BM62" s="129"/>
      <c r="BN62" s="127"/>
      <c r="BO62" s="127"/>
      <c r="BP62" s="130"/>
      <c r="BQ62" s="127"/>
      <c r="BR62" s="128"/>
      <c r="BS62" s="130"/>
      <c r="BT62" s="127"/>
      <c r="BU62" s="127"/>
      <c r="BV62" s="130"/>
      <c r="BW62" s="127"/>
      <c r="BX62" s="128"/>
      <c r="BY62" s="130"/>
      <c r="BZ62" s="127"/>
      <c r="CA62" s="128"/>
      <c r="CB62" s="130"/>
      <c r="CC62" s="127"/>
      <c r="CD62" s="128"/>
      <c r="CE62" s="130"/>
      <c r="CF62" s="127"/>
      <c r="CG62" s="128"/>
      <c r="CH62" s="130"/>
      <c r="CI62" s="127"/>
      <c r="CJ62" s="128"/>
      <c r="CK62" s="130">
        <f>+IF($O62&gt;J$8,"FIN",(J$19-SUM(CL$25:CL61))*VLOOKUP($O62,$A:$N,10,0)/VLOOKUP(J$13,$K$1:$M$4,2,0))</f>
        <v>26.291566837366034</v>
      </c>
      <c r="CL62" s="131">
        <f t="shared" si="65"/>
        <v>179.77139717857145</v>
      </c>
      <c r="CM62" s="128">
        <f t="shared" si="49"/>
        <v>206.0629640159375</v>
      </c>
      <c r="CN62" s="130">
        <f>+IF($O62&gt;K$8,"FIN",(K$19-SUM(CO$25:CO61))*VLOOKUP($O62,$A:$N,11,0)/VLOOKUP(K$13,$K$1:$M$4,2,0))</f>
        <v>31.210182793928571</v>
      </c>
      <c r="CO62" s="131">
        <f t="shared" si="66"/>
        <v>231.18653921428569</v>
      </c>
      <c r="CP62" s="128">
        <f t="shared" si="50"/>
        <v>262.39672200821428</v>
      </c>
      <c r="CQ62" s="130">
        <f>+IF($O62&gt;L$8,"FIN",(L$19-SUM(CR$25:CR61))*VLOOKUP($O62,$A:$N,12,0)/VLOOKUP(L$13,$K$1:$M$4,2,0))</f>
        <v>0</v>
      </c>
      <c r="CR62" s="127">
        <f t="shared" si="86"/>
        <v>0</v>
      </c>
      <c r="CS62" s="128">
        <f t="shared" si="51"/>
        <v>0</v>
      </c>
      <c r="CT62" s="130">
        <f>+IF($O62&gt;M$8,"FIN",(M$19-SUM(CU$25:CU61))*VLOOKUP($O62,$A:$N,13,0)/VLOOKUP(M$13,$K$1:$M$4,2,0))</f>
        <v>0</v>
      </c>
      <c r="CU62" s="127">
        <f t="shared" si="87"/>
        <v>0</v>
      </c>
      <c r="CV62" s="128">
        <f t="shared" si="52"/>
        <v>0</v>
      </c>
      <c r="CX62" s="130">
        <f t="shared" si="69"/>
        <v>62.996474274657075</v>
      </c>
      <c r="CY62" s="127">
        <f t="shared" si="70"/>
        <v>451.6596004177643</v>
      </c>
      <c r="CZ62" s="128">
        <f t="shared" si="71"/>
        <v>514.65607469242138</v>
      </c>
      <c r="DA62" s="224">
        <f t="shared" si="72"/>
        <v>18.347222222222221</v>
      </c>
      <c r="DB62" s="225">
        <f t="shared" si="3"/>
        <v>8286.6990576648132</v>
      </c>
    </row>
    <row r="63" spans="1:106" s="16" customFormat="1" x14ac:dyDescent="0.25">
      <c r="A63" s="125">
        <f t="shared" si="84"/>
        <v>50960</v>
      </c>
      <c r="B63" s="126"/>
      <c r="C63" s="138"/>
      <c r="D63" s="139"/>
      <c r="E63" s="139"/>
      <c r="F63" s="139"/>
      <c r="G63" s="139"/>
      <c r="H63" s="136"/>
      <c r="I63" s="136"/>
      <c r="J63" s="136">
        <v>4.8750000000000002E-2</v>
      </c>
      <c r="K63" s="136">
        <v>4.4999999999999998E-2</v>
      </c>
      <c r="L63" s="136">
        <v>0.05</v>
      </c>
      <c r="M63" s="137">
        <v>4.1250000000000002E-2</v>
      </c>
      <c r="N63" s="124">
        <f t="shared" si="4"/>
        <v>2039</v>
      </c>
      <c r="O63" s="126">
        <f t="shared" si="85"/>
        <v>50960</v>
      </c>
      <c r="P63" s="129"/>
      <c r="Q63" s="127"/>
      <c r="R63" s="127"/>
      <c r="S63" s="128"/>
      <c r="T63" s="130"/>
      <c r="U63" s="127"/>
      <c r="V63" s="127"/>
      <c r="W63" s="128"/>
      <c r="X63" s="130"/>
      <c r="Y63" s="127"/>
      <c r="Z63" s="127"/>
      <c r="AA63" s="128"/>
      <c r="AB63" s="130"/>
      <c r="AC63" s="127"/>
      <c r="AD63" s="127"/>
      <c r="AE63" s="128"/>
      <c r="AF63" s="130"/>
      <c r="AG63" s="127"/>
      <c r="AH63" s="127"/>
      <c r="AI63" s="128"/>
      <c r="AJ63" s="130"/>
      <c r="AK63" s="127"/>
      <c r="AL63" s="127"/>
      <c r="AM63" s="128"/>
      <c r="AN63" s="130"/>
      <c r="AO63" s="127"/>
      <c r="AP63" s="127"/>
      <c r="AQ63" s="128"/>
      <c r="AR63" s="130"/>
      <c r="AS63" s="127"/>
      <c r="AT63" s="127"/>
      <c r="AU63" s="128"/>
      <c r="AV63" s="130">
        <f>+IF($O63&gt;J$8,"FIN",(J$16-SUM(AW$25:AW62))*VLOOKUP($O63,$A:$N,10,0)/VLOOKUP(J$13,$K$1:$M$4,2,0))</f>
        <v>0.43526785714285759</v>
      </c>
      <c r="AW63" s="127">
        <f t="shared" si="29"/>
        <v>3.5714285714285716</v>
      </c>
      <c r="AX63" s="127">
        <f t="shared" si="30"/>
        <v>4.0066964285714288</v>
      </c>
      <c r="AY63" s="128">
        <f t="shared" si="31"/>
        <v>0.66473615908808759</v>
      </c>
      <c r="AZ63" s="130">
        <f>+IF($O63&gt;K$8,"FIN",(K$16-SUM(BA$25:BA62))*VLOOKUP($O63,$A:$N,11,0)/VLOOKUP(K$13,$K$1:$M$4,2,0))</f>
        <v>0.40178571428571469</v>
      </c>
      <c r="BA63" s="127">
        <f t="shared" si="32"/>
        <v>3.5714285714285716</v>
      </c>
      <c r="BB63" s="127">
        <f t="shared" si="33"/>
        <v>3.9732142857142865</v>
      </c>
      <c r="BC63" s="128">
        <f t="shared" si="34"/>
        <v>0.65918126082272765</v>
      </c>
      <c r="BD63" s="130">
        <f>+IF($O63&gt;L$8,"FIN",(L$16-SUM(BE$25:BE62))*VLOOKUP($O63,$A:$N,12,0)/VLOOKUP(L$13,$K$1:$M$4,2,0))</f>
        <v>0.82670454545454608</v>
      </c>
      <c r="BE63" s="127">
        <f t="shared" si="80"/>
        <v>2.2045454545454546</v>
      </c>
      <c r="BF63" s="127">
        <f t="shared" si="36"/>
        <v>3.0312500000000009</v>
      </c>
      <c r="BG63" s="128">
        <f t="shared" si="81"/>
        <v>0.50290345629059785</v>
      </c>
      <c r="BH63" s="130">
        <f>+IF($O63&gt;M$8,"FIN",(M$16-SUM(BI$25:BI62))*VLOOKUP($O63,$A:$N,13,0)/VLOOKUP(M$13,$K$1:$M$4,2,0))</f>
        <v>0.68203125000000053</v>
      </c>
      <c r="BI63" s="127">
        <f t="shared" si="82"/>
        <v>2.2045454545454546</v>
      </c>
      <c r="BJ63" s="127">
        <f t="shared" si="39"/>
        <v>2.8865767045454551</v>
      </c>
      <c r="BK63" s="128">
        <f t="shared" si="83"/>
        <v>0.47890124587672839</v>
      </c>
      <c r="BL63" s="124"/>
      <c r="BM63" s="129"/>
      <c r="BN63" s="127"/>
      <c r="BO63" s="127"/>
      <c r="BP63" s="130"/>
      <c r="BQ63" s="127"/>
      <c r="BR63" s="128"/>
      <c r="BS63" s="130"/>
      <c r="BT63" s="127"/>
      <c r="BU63" s="127"/>
      <c r="BV63" s="130"/>
      <c r="BW63" s="127"/>
      <c r="BX63" s="128"/>
      <c r="BY63" s="130"/>
      <c r="BZ63" s="127"/>
      <c r="CA63" s="128"/>
      <c r="CB63" s="130"/>
      <c r="CC63" s="127"/>
      <c r="CD63" s="128"/>
      <c r="CE63" s="130"/>
      <c r="CF63" s="127"/>
      <c r="CG63" s="128"/>
      <c r="CH63" s="130"/>
      <c r="CI63" s="127"/>
      <c r="CJ63" s="128"/>
      <c r="CK63" s="130">
        <f>+IF($O63&gt;J$8,"FIN",(J$19-SUM(CL$25:CL62))*VLOOKUP($O63,$A:$N,10,0)/VLOOKUP(J$13,$K$1:$M$4,2,0))</f>
        <v>21.909639031138362</v>
      </c>
      <c r="CL63" s="131">
        <f t="shared" si="65"/>
        <v>179.77139717857145</v>
      </c>
      <c r="CM63" s="128">
        <f t="shared" si="49"/>
        <v>201.68103620970982</v>
      </c>
      <c r="CN63" s="130">
        <f>+IF($O63&gt;K$8,"FIN",(K$19-SUM(CO$25:CO62))*VLOOKUP($O63,$A:$N,11,0)/VLOOKUP(K$13,$K$1:$M$4,2,0))</f>
        <v>26.008485661607146</v>
      </c>
      <c r="CO63" s="131">
        <f t="shared" si="66"/>
        <v>231.18653921428569</v>
      </c>
      <c r="CP63" s="128">
        <f t="shared" si="50"/>
        <v>257.19502487589284</v>
      </c>
      <c r="CQ63" s="130">
        <f>+IF($O63&gt;L$8,"FIN",(L$19-SUM(CR$25:CR62))*VLOOKUP($O63,$A:$N,12,0)/VLOOKUP(L$13,$K$1:$M$4,2,0))</f>
        <v>0</v>
      </c>
      <c r="CR63" s="127">
        <f t="shared" si="86"/>
        <v>0</v>
      </c>
      <c r="CS63" s="128">
        <f t="shared" si="51"/>
        <v>0</v>
      </c>
      <c r="CT63" s="130">
        <f>+IF($O63&gt;M$8,"FIN",(M$19-SUM(CU$25:CU62))*VLOOKUP($O63,$A:$N,13,0)/VLOOKUP(M$13,$K$1:$M$4,2,0))</f>
        <v>0</v>
      </c>
      <c r="CU63" s="127">
        <f t="shared" si="87"/>
        <v>0</v>
      </c>
      <c r="CV63" s="128">
        <f t="shared" si="52"/>
        <v>0</v>
      </c>
      <c r="CX63" s="130">
        <f t="shared" si="69"/>
        <v>52.497061895547567</v>
      </c>
      <c r="CY63" s="127">
        <f t="shared" si="70"/>
        <v>451.6596004177643</v>
      </c>
      <c r="CZ63" s="128">
        <f t="shared" si="71"/>
        <v>504.15666231331187</v>
      </c>
      <c r="DA63" s="224">
        <f t="shared" si="72"/>
        <v>18.847222222222221</v>
      </c>
      <c r="DB63" s="225">
        <f t="shared" si="3"/>
        <v>8512.5288578736963</v>
      </c>
    </row>
    <row r="64" spans="1:106" s="16" customFormat="1" x14ac:dyDescent="0.25">
      <c r="A64" s="125">
        <f t="shared" si="84"/>
        <v>51144</v>
      </c>
      <c r="B64" s="126"/>
      <c r="C64" s="138"/>
      <c r="D64" s="139"/>
      <c r="E64" s="139"/>
      <c r="F64" s="139"/>
      <c r="G64" s="139"/>
      <c r="H64" s="136"/>
      <c r="I64" s="136"/>
      <c r="J64" s="136">
        <v>4.8750000000000002E-2</v>
      </c>
      <c r="K64" s="136">
        <v>4.4999999999999998E-2</v>
      </c>
      <c r="L64" s="136">
        <v>0.05</v>
      </c>
      <c r="M64" s="137">
        <v>4.1250000000000002E-2</v>
      </c>
      <c r="N64" s="124">
        <f t="shared" si="4"/>
        <v>2040</v>
      </c>
      <c r="O64" s="126">
        <f t="shared" si="85"/>
        <v>51144</v>
      </c>
      <c r="P64" s="129"/>
      <c r="Q64" s="127"/>
      <c r="R64" s="127"/>
      <c r="S64" s="128"/>
      <c r="T64" s="130"/>
      <c r="U64" s="127"/>
      <c r="V64" s="127"/>
      <c r="W64" s="128"/>
      <c r="X64" s="130"/>
      <c r="Y64" s="127"/>
      <c r="Z64" s="127"/>
      <c r="AA64" s="128"/>
      <c r="AB64" s="130"/>
      <c r="AC64" s="127"/>
      <c r="AD64" s="127"/>
      <c r="AE64" s="128"/>
      <c r="AF64" s="127"/>
      <c r="AG64" s="127"/>
      <c r="AH64" s="127"/>
      <c r="AI64" s="128"/>
      <c r="AJ64" s="127"/>
      <c r="AK64" s="127"/>
      <c r="AL64" s="127"/>
      <c r="AM64" s="128"/>
      <c r="AN64" s="130"/>
      <c r="AO64" s="127"/>
      <c r="AP64" s="127"/>
      <c r="AQ64" s="128"/>
      <c r="AR64" s="130"/>
      <c r="AS64" s="127"/>
      <c r="AT64" s="127"/>
      <c r="AU64" s="128"/>
      <c r="AV64" s="130">
        <f>+IF($O64&gt;J$8,"FIN",(J$16-SUM(AW$25:AW63))*VLOOKUP($O64,$A:$N,10,0)/VLOOKUP(J$13,$K$1:$M$4,2,0))</f>
        <v>0.3482142857142862</v>
      </c>
      <c r="AW64" s="127">
        <f t="shared" si="29"/>
        <v>3.5714285714285716</v>
      </c>
      <c r="AX64" s="127">
        <f t="shared" si="30"/>
        <v>3.9196428571428577</v>
      </c>
      <c r="AY64" s="128">
        <f t="shared" si="31"/>
        <v>0.62003045143327429</v>
      </c>
      <c r="AZ64" s="130">
        <f>+IF($O64&gt;K$8,"FIN",(K$16-SUM(BA$25:BA63))*VLOOKUP($O64,$A:$N,11,0)/VLOOKUP(K$13,$K$1:$M$4,2,0))</f>
        <v>0.3214285714285719</v>
      </c>
      <c r="BA64" s="127">
        <f t="shared" si="32"/>
        <v>3.5714285714285716</v>
      </c>
      <c r="BB64" s="127">
        <f t="shared" si="33"/>
        <v>3.8928571428571437</v>
      </c>
      <c r="BC64" s="128">
        <f t="shared" si="34"/>
        <v>0.61579334128680552</v>
      </c>
      <c r="BD64" s="130">
        <f>+IF($O64&gt;L$8,"FIN",(L$16-SUM(BE$25:BE63))*VLOOKUP($O64,$A:$N,12,0)/VLOOKUP(L$13,$K$1:$M$4,2,0))</f>
        <v>0.77159090909090977</v>
      </c>
      <c r="BE64" s="127">
        <f t="shared" si="80"/>
        <v>2.2045454545454546</v>
      </c>
      <c r="BF64" s="127">
        <f t="shared" si="36"/>
        <v>2.9761363636363645</v>
      </c>
      <c r="BG64" s="128">
        <f t="shared" si="81"/>
        <v>0.47078145645583847</v>
      </c>
      <c r="BH64" s="130">
        <f>+IF($O64&gt;M$8,"FIN",(M$16-SUM(BI$25:BI63))*VLOOKUP($O64,$A:$N,13,0)/VLOOKUP(M$13,$K$1:$M$4,2,0))</f>
        <v>0.63656250000000059</v>
      </c>
      <c r="BI64" s="127">
        <f t="shared" si="82"/>
        <v>2.2045454545454546</v>
      </c>
      <c r="BJ64" s="127">
        <f t="shared" si="39"/>
        <v>2.8411079545454552</v>
      </c>
      <c r="BK64" s="128">
        <f t="shared" si="83"/>
        <v>0.44942192741293463</v>
      </c>
      <c r="BL64" s="124"/>
      <c r="BM64" s="129"/>
      <c r="BN64" s="127"/>
      <c r="BO64" s="127"/>
      <c r="BP64" s="130"/>
      <c r="BQ64" s="127"/>
      <c r="BR64" s="128"/>
      <c r="BS64" s="130"/>
      <c r="BT64" s="127"/>
      <c r="BU64" s="127"/>
      <c r="BV64" s="130"/>
      <c r="BW64" s="127"/>
      <c r="BX64" s="128"/>
      <c r="BY64" s="129"/>
      <c r="BZ64" s="127"/>
      <c r="CA64" s="128"/>
      <c r="CB64" s="129"/>
      <c r="CC64" s="127"/>
      <c r="CD64" s="128"/>
      <c r="CE64" s="130"/>
      <c r="CF64" s="127"/>
      <c r="CG64" s="128"/>
      <c r="CH64" s="130"/>
      <c r="CI64" s="127"/>
      <c r="CJ64" s="128"/>
      <c r="CK64" s="130">
        <f>+IF($O64&gt;J$8,"FIN",(J$19-SUM(CL$25:CL63))*VLOOKUP($O64,$A:$N,10,0)/VLOOKUP(J$13,$K$1:$M$4,2,0))</f>
        <v>17.527711224910682</v>
      </c>
      <c r="CL64" s="131">
        <f t="shared" si="65"/>
        <v>179.77139717857145</v>
      </c>
      <c r="CM64" s="128">
        <f t="shared" si="49"/>
        <v>197.29910840348214</v>
      </c>
      <c r="CN64" s="130">
        <f>+IF($O64&gt;K$8,"FIN",(K$19-SUM(CO$25:CO63))*VLOOKUP($O64,$A:$N,11,0)/VLOOKUP(K$13,$K$1:$M$4,2,0))</f>
        <v>20.806788529285726</v>
      </c>
      <c r="CO64" s="131">
        <f t="shared" si="66"/>
        <v>231.18653921428569</v>
      </c>
      <c r="CP64" s="128">
        <f t="shared" si="50"/>
        <v>251.9933277435714</v>
      </c>
      <c r="CQ64" s="130">
        <f>+IF($O64&gt;L$8,"FIN",(L$19-SUM(CR$25:CR63))*VLOOKUP($O64,$A:$N,12,0)/VLOOKUP(L$13,$K$1:$M$4,2,0))</f>
        <v>0</v>
      </c>
      <c r="CR64" s="127">
        <f t="shared" si="86"/>
        <v>0</v>
      </c>
      <c r="CS64" s="128">
        <f t="shared" si="51"/>
        <v>0</v>
      </c>
      <c r="CT64" s="130">
        <f>+IF($O64&gt;M$8,"FIN",(M$19-SUM(CU$25:CU63))*VLOOKUP($O64,$A:$N,13,0)/VLOOKUP(M$13,$K$1:$M$4,2,0))</f>
        <v>0</v>
      </c>
      <c r="CU64" s="127">
        <f t="shared" si="87"/>
        <v>0</v>
      </c>
      <c r="CV64" s="128">
        <f t="shared" si="52"/>
        <v>0</v>
      </c>
      <c r="CX64" s="130">
        <f t="shared" si="69"/>
        <v>41.997649516438059</v>
      </c>
      <c r="CY64" s="127">
        <f t="shared" si="70"/>
        <v>451.6596004177643</v>
      </c>
      <c r="CZ64" s="128">
        <f t="shared" si="71"/>
        <v>493.65724993420235</v>
      </c>
      <c r="DA64" s="224">
        <f t="shared" si="72"/>
        <v>19.347222222222221</v>
      </c>
      <c r="DB64" s="225">
        <f t="shared" si="3"/>
        <v>8738.3586580825777</v>
      </c>
    </row>
    <row r="65" spans="1:106" s="16" customFormat="1" x14ac:dyDescent="0.25">
      <c r="A65" s="125">
        <f t="shared" si="84"/>
        <v>51326</v>
      </c>
      <c r="B65" s="126"/>
      <c r="C65" s="138"/>
      <c r="D65" s="139"/>
      <c r="E65" s="139"/>
      <c r="F65" s="139"/>
      <c r="G65" s="139"/>
      <c r="H65" s="136"/>
      <c r="I65" s="136"/>
      <c r="J65" s="136">
        <v>4.8750000000000002E-2</v>
      </c>
      <c r="K65" s="136">
        <v>4.4999999999999998E-2</v>
      </c>
      <c r="L65" s="136">
        <v>0.05</v>
      </c>
      <c r="M65" s="137">
        <v>4.1250000000000002E-2</v>
      </c>
      <c r="N65" s="124">
        <f t="shared" si="4"/>
        <v>2040</v>
      </c>
      <c r="O65" s="126">
        <f t="shared" si="85"/>
        <v>51326</v>
      </c>
      <c r="P65" s="129"/>
      <c r="Q65" s="127"/>
      <c r="R65" s="127"/>
      <c r="S65" s="128"/>
      <c r="T65" s="130"/>
      <c r="U65" s="127"/>
      <c r="V65" s="127"/>
      <c r="W65" s="128"/>
      <c r="X65" s="130"/>
      <c r="Y65" s="127"/>
      <c r="Z65" s="127"/>
      <c r="AA65" s="128"/>
      <c r="AB65" s="130"/>
      <c r="AC65" s="127"/>
      <c r="AD65" s="127"/>
      <c r="AE65" s="128"/>
      <c r="AF65" s="127"/>
      <c r="AG65" s="127"/>
      <c r="AH65" s="127"/>
      <c r="AI65" s="128"/>
      <c r="AJ65" s="127"/>
      <c r="AK65" s="127"/>
      <c r="AL65" s="127"/>
      <c r="AM65" s="128"/>
      <c r="AN65" s="130"/>
      <c r="AO65" s="127"/>
      <c r="AP65" s="127"/>
      <c r="AQ65" s="128"/>
      <c r="AR65" s="130"/>
      <c r="AS65" s="127"/>
      <c r="AT65" s="127"/>
      <c r="AU65" s="128"/>
      <c r="AV65" s="130">
        <f>+IF($O65&gt;J$8,"FIN",(J$16-SUM(AW$25:AW64))*VLOOKUP($O65,$A:$N,10,0)/VLOOKUP(J$13,$K$1:$M$4,2,0))</f>
        <v>0.26116071428571486</v>
      </c>
      <c r="AW65" s="127">
        <f t="shared" si="29"/>
        <v>3.5714285714285716</v>
      </c>
      <c r="AX65" s="127">
        <f t="shared" si="30"/>
        <v>3.8325892857142865</v>
      </c>
      <c r="AY65" s="128">
        <f t="shared" si="31"/>
        <v>0.57804608009837766</v>
      </c>
      <c r="AZ65" s="130">
        <f>+IF($O65&gt;K$8,"FIN",(K$16-SUM(BA$25:BA64))*VLOOKUP($O65,$A:$N,11,0)/VLOOKUP(K$13,$K$1:$M$4,2,0))</f>
        <v>0.24107142857142907</v>
      </c>
      <c r="BA65" s="127">
        <f t="shared" si="32"/>
        <v>3.5714285714285716</v>
      </c>
      <c r="BB65" s="127">
        <f t="shared" si="33"/>
        <v>3.8125000000000009</v>
      </c>
      <c r="BC65" s="128">
        <f t="shared" si="34"/>
        <v>0.57501613558999942</v>
      </c>
      <c r="BD65" s="130">
        <f>+IF($O65&gt;L$8,"FIN",(L$16-SUM(BE$25:BE64))*VLOOKUP($O65,$A:$N,12,0)/VLOOKUP(L$13,$K$1:$M$4,2,0))</f>
        <v>0.71647727272727346</v>
      </c>
      <c r="BE65" s="127">
        <f t="shared" si="80"/>
        <v>2.2045454545454546</v>
      </c>
      <c r="BF65" s="127">
        <f t="shared" si="36"/>
        <v>2.921022727272728</v>
      </c>
      <c r="BG65" s="128">
        <f t="shared" si="81"/>
        <v>0.44056005261820974</v>
      </c>
      <c r="BH65" s="130">
        <f>+IF($O65&gt;M$8,"FIN",(M$16-SUM(BI$25:BI64))*VLOOKUP($O65,$A:$N,13,0)/VLOOKUP(M$13,$K$1:$M$4,2,0))</f>
        <v>0.59109375000000053</v>
      </c>
      <c r="BI65" s="127">
        <f t="shared" si="82"/>
        <v>2.2045454545454546</v>
      </c>
      <c r="BJ65" s="127">
        <f t="shared" si="39"/>
        <v>2.7956392045454552</v>
      </c>
      <c r="BK65" s="128">
        <f t="shared" si="83"/>
        <v>0.42164922017091866</v>
      </c>
      <c r="BL65" s="124"/>
      <c r="BM65" s="129"/>
      <c r="BN65" s="127"/>
      <c r="BO65" s="127"/>
      <c r="BP65" s="130"/>
      <c r="BQ65" s="127"/>
      <c r="BR65" s="128"/>
      <c r="BS65" s="130"/>
      <c r="BT65" s="127"/>
      <c r="BU65" s="127"/>
      <c r="BV65" s="130"/>
      <c r="BW65" s="127"/>
      <c r="BX65" s="128"/>
      <c r="BY65" s="129"/>
      <c r="BZ65" s="127"/>
      <c r="CA65" s="128"/>
      <c r="CB65" s="129"/>
      <c r="CC65" s="127"/>
      <c r="CD65" s="128"/>
      <c r="CE65" s="130"/>
      <c r="CF65" s="127"/>
      <c r="CG65" s="128"/>
      <c r="CH65" s="130"/>
      <c r="CI65" s="127"/>
      <c r="CJ65" s="128"/>
      <c r="CK65" s="130">
        <f>+IF($O65&gt;J$8,"FIN",(J$19-SUM(CL$25:CL64))*VLOOKUP($O65,$A:$N,10,0)/VLOOKUP(J$13,$K$1:$M$4,2,0))</f>
        <v>13.145783418682999</v>
      </c>
      <c r="CL65" s="131">
        <f t="shared" si="65"/>
        <v>179.77139717857145</v>
      </c>
      <c r="CM65" s="128">
        <f t="shared" si="49"/>
        <v>192.91718059725446</v>
      </c>
      <c r="CN65" s="130">
        <f>+IF($O65&gt;K$8,"FIN",(K$19-SUM(CO$25:CO64))*VLOOKUP($O65,$A:$N,11,0)/VLOOKUP(K$13,$K$1:$M$4,2,0))</f>
        <v>15.605091396964305</v>
      </c>
      <c r="CO65" s="131">
        <f t="shared" si="66"/>
        <v>231.18653921428569</v>
      </c>
      <c r="CP65" s="128">
        <f t="shared" si="50"/>
        <v>246.79163061124999</v>
      </c>
      <c r="CQ65" s="130">
        <f>+IF($O65&gt;L$8,"FIN",(L$19-SUM(CR$25:CR64))*VLOOKUP($O65,$A:$N,12,0)/VLOOKUP(L$13,$K$1:$M$4,2,0))</f>
        <v>0</v>
      </c>
      <c r="CR65" s="127">
        <f t="shared" si="86"/>
        <v>0</v>
      </c>
      <c r="CS65" s="128">
        <f t="shared" si="51"/>
        <v>0</v>
      </c>
      <c r="CT65" s="130">
        <f>+IF($O65&gt;M$8,"FIN",(M$19-SUM(CU$25:CU64))*VLOOKUP($O65,$A:$N,13,0)/VLOOKUP(M$13,$K$1:$M$4,2,0))</f>
        <v>0</v>
      </c>
      <c r="CU65" s="127">
        <f t="shared" si="87"/>
        <v>0</v>
      </c>
      <c r="CV65" s="128">
        <f t="shared" si="52"/>
        <v>0</v>
      </c>
      <c r="CX65" s="130">
        <f t="shared" si="69"/>
        <v>31.498237137328545</v>
      </c>
      <c r="CY65" s="127">
        <f t="shared" si="70"/>
        <v>451.6596004177643</v>
      </c>
      <c r="CZ65" s="128">
        <f t="shared" si="71"/>
        <v>483.15783755509284</v>
      </c>
      <c r="DA65" s="224">
        <f t="shared" si="72"/>
        <v>19.847222222222221</v>
      </c>
      <c r="DB65" s="225">
        <f t="shared" si="3"/>
        <v>8964.1884582914608</v>
      </c>
    </row>
    <row r="66" spans="1:106" s="16" customFormat="1" x14ac:dyDescent="0.25">
      <c r="A66" s="125">
        <f t="shared" si="84"/>
        <v>51510</v>
      </c>
      <c r="B66" s="126"/>
      <c r="C66" s="138"/>
      <c r="D66" s="139"/>
      <c r="E66" s="139"/>
      <c r="F66" s="139"/>
      <c r="G66" s="139"/>
      <c r="H66" s="139"/>
      <c r="I66" s="136"/>
      <c r="J66" s="136">
        <v>4.8750000000000002E-2</v>
      </c>
      <c r="K66" s="136">
        <v>4.4999999999999998E-2</v>
      </c>
      <c r="L66" s="136">
        <v>0.05</v>
      </c>
      <c r="M66" s="137">
        <v>4.1250000000000002E-2</v>
      </c>
      <c r="N66" s="124">
        <f t="shared" si="4"/>
        <v>2041</v>
      </c>
      <c r="O66" s="126">
        <f t="shared" si="85"/>
        <v>51510</v>
      </c>
      <c r="P66" s="129"/>
      <c r="Q66" s="127"/>
      <c r="R66" s="127"/>
      <c r="S66" s="128"/>
      <c r="T66" s="130"/>
      <c r="U66" s="127"/>
      <c r="V66" s="127"/>
      <c r="W66" s="128"/>
      <c r="X66" s="130"/>
      <c r="Y66" s="127"/>
      <c r="Z66" s="127"/>
      <c r="AA66" s="128"/>
      <c r="AB66" s="130"/>
      <c r="AC66" s="127"/>
      <c r="AD66" s="127"/>
      <c r="AE66" s="128"/>
      <c r="AF66" s="127"/>
      <c r="AG66" s="127"/>
      <c r="AH66" s="127"/>
      <c r="AI66" s="128"/>
      <c r="AJ66" s="127"/>
      <c r="AK66" s="127"/>
      <c r="AL66" s="127"/>
      <c r="AM66" s="128"/>
      <c r="AN66" s="127"/>
      <c r="AO66" s="127"/>
      <c r="AP66" s="127"/>
      <c r="AQ66" s="128"/>
      <c r="AR66" s="127"/>
      <c r="AS66" s="127"/>
      <c r="AT66" s="127"/>
      <c r="AU66" s="128"/>
      <c r="AV66" s="130">
        <f>+IF($O66&gt;J$8,"FIN",(J$16-SUM(AW$25:AW65))*VLOOKUP($O66,$A:$N,10,0)/VLOOKUP(J$13,$K$1:$M$4,2,0))</f>
        <v>0.17410714285714346</v>
      </c>
      <c r="AW66" s="127">
        <f t="shared" si="29"/>
        <v>3.5714285714285716</v>
      </c>
      <c r="AX66" s="127">
        <f t="shared" si="30"/>
        <v>3.7455357142857153</v>
      </c>
      <c r="AY66" s="128">
        <f t="shared" si="31"/>
        <v>0.53862657771020617</v>
      </c>
      <c r="AZ66" s="130">
        <f>+IF($O66&gt;K$8,"FIN",(K$16-SUM(BA$25:BA65))*VLOOKUP($O66,$A:$N,11,0)/VLOOKUP(K$13,$K$1:$M$4,2,0))</f>
        <v>0.16071428571428625</v>
      </c>
      <c r="BA66" s="127">
        <f t="shared" si="32"/>
        <v>3.5714285714285716</v>
      </c>
      <c r="BB66" s="127">
        <f t="shared" si="33"/>
        <v>3.7321428571428577</v>
      </c>
      <c r="BC66" s="128">
        <f t="shared" si="34"/>
        <v>0.53670061855272033</v>
      </c>
      <c r="BD66" s="130">
        <f>+IF($O66&gt;L$8,"FIN",(L$16-SUM(BE$25:BE65))*VLOOKUP($O66,$A:$N,12,0)/VLOOKUP(L$13,$K$1:$M$4,2,0))</f>
        <v>0.66136363636363704</v>
      </c>
      <c r="BE66" s="127">
        <f t="shared" si="80"/>
        <v>2.2045454545454546</v>
      </c>
      <c r="BF66" s="127">
        <f t="shared" si="36"/>
        <v>2.8659090909090916</v>
      </c>
      <c r="BG66" s="128">
        <f t="shared" si="81"/>
        <v>0.41213191474248478</v>
      </c>
      <c r="BH66" s="130">
        <f>+IF($O66&gt;M$8,"FIN",(M$16-SUM(BI$25:BI65))*VLOOKUP($O66,$A:$N,13,0)/VLOOKUP(M$13,$K$1:$M$4,2,0))</f>
        <v>0.54562500000000058</v>
      </c>
      <c r="BI66" s="127">
        <f t="shared" si="82"/>
        <v>2.2045454545454546</v>
      </c>
      <c r="BJ66" s="127">
        <f t="shared" si="39"/>
        <v>2.7501704545454553</v>
      </c>
      <c r="BK66" s="128">
        <f t="shared" si="83"/>
        <v>0.39548812587788446</v>
      </c>
      <c r="BL66" s="124"/>
      <c r="BM66" s="129"/>
      <c r="BN66" s="127"/>
      <c r="BO66" s="127"/>
      <c r="BP66" s="130"/>
      <c r="BQ66" s="127"/>
      <c r="BR66" s="128"/>
      <c r="BS66" s="130"/>
      <c r="BT66" s="127"/>
      <c r="BU66" s="127"/>
      <c r="BV66" s="130"/>
      <c r="BW66" s="127"/>
      <c r="BX66" s="128"/>
      <c r="BY66" s="129"/>
      <c r="BZ66" s="127"/>
      <c r="CA66" s="128"/>
      <c r="CB66" s="129"/>
      <c r="CC66" s="127"/>
      <c r="CD66" s="128"/>
      <c r="CE66" s="129"/>
      <c r="CF66" s="127"/>
      <c r="CG66" s="128"/>
      <c r="CH66" s="129"/>
      <c r="CI66" s="127"/>
      <c r="CJ66" s="128"/>
      <c r="CK66" s="130">
        <f>+IF($O66&gt;J$8,"FIN",(J$19-SUM(CL$25:CL65))*VLOOKUP($O66,$A:$N,10,0)/VLOOKUP(J$13,$K$1:$M$4,2,0))</f>
        <v>8.763855612455318</v>
      </c>
      <c r="CL66" s="131">
        <f t="shared" si="65"/>
        <v>179.77139717857145</v>
      </c>
      <c r="CM66" s="128">
        <f t="shared" si="49"/>
        <v>188.53525279102678</v>
      </c>
      <c r="CN66" s="130">
        <f>+IF($O66&gt;K$8,"FIN",(K$19-SUM(CO$25:CO65))*VLOOKUP($O66,$A:$N,11,0)/VLOOKUP(K$13,$K$1:$M$4,2,0))</f>
        <v>10.403394264642884</v>
      </c>
      <c r="CO66" s="131">
        <f t="shared" si="66"/>
        <v>231.18653921428569</v>
      </c>
      <c r="CP66" s="128">
        <f t="shared" si="50"/>
        <v>241.58993347892857</v>
      </c>
      <c r="CQ66" s="130">
        <f>+IF($O66&gt;L$8,"FIN",(L$19-SUM(CR$25:CR65))*VLOOKUP($O66,$A:$N,12,0)/VLOOKUP(L$13,$K$1:$M$4,2,0))</f>
        <v>0</v>
      </c>
      <c r="CR66" s="127">
        <f t="shared" si="86"/>
        <v>0</v>
      </c>
      <c r="CS66" s="128">
        <f t="shared" si="51"/>
        <v>0</v>
      </c>
      <c r="CT66" s="130">
        <f>+IF($O66&gt;M$8,"FIN",(M$19-SUM(CU$25:CU65))*VLOOKUP($O66,$A:$N,13,0)/VLOOKUP(M$13,$K$1:$M$4,2,0))</f>
        <v>0</v>
      </c>
      <c r="CU66" s="127">
        <f t="shared" si="87"/>
        <v>0</v>
      </c>
      <c r="CV66" s="128">
        <f t="shared" si="52"/>
        <v>0</v>
      </c>
      <c r="CX66" s="130">
        <f t="shared" si="69"/>
        <v>20.99882475821903</v>
      </c>
      <c r="CY66" s="127">
        <f t="shared" si="70"/>
        <v>451.6596004177643</v>
      </c>
      <c r="CZ66" s="128">
        <f t="shared" si="71"/>
        <v>472.65842517598333</v>
      </c>
      <c r="DA66" s="224">
        <f t="shared" si="72"/>
        <v>20.347222222222221</v>
      </c>
      <c r="DB66" s="225">
        <f t="shared" si="3"/>
        <v>9190.0182585003422</v>
      </c>
    </row>
    <row r="67" spans="1:106" s="16" customFormat="1" x14ac:dyDescent="0.25">
      <c r="A67" s="125">
        <f t="shared" si="84"/>
        <v>51691</v>
      </c>
      <c r="B67" s="126"/>
      <c r="C67" s="138"/>
      <c r="D67" s="139"/>
      <c r="E67" s="139"/>
      <c r="F67" s="139"/>
      <c r="G67" s="139"/>
      <c r="H67" s="139"/>
      <c r="I67" s="136"/>
      <c r="J67" s="136">
        <v>4.8750000000000002E-2</v>
      </c>
      <c r="K67" s="136">
        <v>4.4999999999999998E-2</v>
      </c>
      <c r="L67" s="136">
        <v>0.05</v>
      </c>
      <c r="M67" s="137">
        <v>4.1250000000000002E-2</v>
      </c>
      <c r="N67" s="124">
        <f t="shared" si="4"/>
        <v>2041</v>
      </c>
      <c r="O67" s="126">
        <f t="shared" si="85"/>
        <v>51691</v>
      </c>
      <c r="P67" s="129"/>
      <c r="Q67" s="127"/>
      <c r="R67" s="127"/>
      <c r="S67" s="128"/>
      <c r="T67" s="130"/>
      <c r="U67" s="127"/>
      <c r="V67" s="127"/>
      <c r="W67" s="128"/>
      <c r="X67" s="130"/>
      <c r="Y67" s="127"/>
      <c r="Z67" s="127"/>
      <c r="AA67" s="128"/>
      <c r="AB67" s="130"/>
      <c r="AC67" s="127"/>
      <c r="AD67" s="127"/>
      <c r="AE67" s="128"/>
      <c r="AF67" s="127"/>
      <c r="AG67" s="127"/>
      <c r="AH67" s="127"/>
      <c r="AI67" s="128"/>
      <c r="AJ67" s="127"/>
      <c r="AK67" s="127"/>
      <c r="AL67" s="127"/>
      <c r="AM67" s="128"/>
      <c r="AN67" s="127"/>
      <c r="AO67" s="127"/>
      <c r="AP67" s="127"/>
      <c r="AQ67" s="128"/>
      <c r="AR67" s="127"/>
      <c r="AS67" s="127"/>
      <c r="AT67" s="127"/>
      <c r="AU67" s="128"/>
      <c r="AV67" s="130">
        <f>+IF($O67&gt;J$8,"FIN",(J$16-SUM(AW$25:AW66))*VLOOKUP($O67,$A:$N,10,0)/VLOOKUP(J$13,$K$1:$M$4,2,0))</f>
        <v>8.7053571428572077E-2</v>
      </c>
      <c r="AW67" s="127">
        <f t="shared" si="29"/>
        <v>3.5714285714285716</v>
      </c>
      <c r="AX67" s="127">
        <f t="shared" si="30"/>
        <v>3.6584821428571437</v>
      </c>
      <c r="AY67" s="128">
        <f t="shared" si="31"/>
        <v>0.50162414638706032</v>
      </c>
      <c r="AZ67" s="130">
        <f>+IF($O67&gt;K$8,"FIN",(K$16-SUM(BA$25:BA66))*VLOOKUP($O67,$A:$N,11,0)/VLOOKUP(K$13,$K$1:$M$4,2,0))</f>
        <v>8.0357142857143446E-2</v>
      </c>
      <c r="BA67" s="127">
        <f t="shared" si="32"/>
        <v>3.5714285714285716</v>
      </c>
      <c r="BB67" s="127">
        <f t="shared" si="33"/>
        <v>3.6517857142857149</v>
      </c>
      <c r="BC67" s="128">
        <f t="shared" si="34"/>
        <v>0.50070598138452138</v>
      </c>
      <c r="BD67" s="130">
        <f>+IF($O67&gt;L$8,"FIN",(L$16-SUM(BE$25:BE66))*VLOOKUP($O67,$A:$N,12,0)/VLOOKUP(L$13,$K$1:$M$4,2,0))</f>
        <v>0.60625000000000073</v>
      </c>
      <c r="BE67" s="127">
        <f t="shared" si="80"/>
        <v>2.2045454545454546</v>
      </c>
      <c r="BF67" s="127">
        <f t="shared" si="36"/>
        <v>2.8107954545454552</v>
      </c>
      <c r="BG67" s="128">
        <f t="shared" si="81"/>
        <v>0.38539558633839949</v>
      </c>
      <c r="BH67" s="130">
        <f>+IF($O67&gt;M$8,"FIN",(M$16-SUM(BI$25:BI66))*VLOOKUP($O67,$A:$N,13,0)/VLOOKUP(M$13,$K$1:$M$4,2,0))</f>
        <v>0.50015625000000064</v>
      </c>
      <c r="BI67" s="127">
        <f t="shared" si="82"/>
        <v>2.2045454545454546</v>
      </c>
      <c r="BJ67" s="127">
        <f t="shared" si="39"/>
        <v>2.7047017045454553</v>
      </c>
      <c r="BK67" s="128">
        <f t="shared" si="83"/>
        <v>0.37084879214817562</v>
      </c>
      <c r="BL67" s="124"/>
      <c r="BM67" s="129"/>
      <c r="BN67" s="127"/>
      <c r="BO67" s="127"/>
      <c r="BP67" s="130"/>
      <c r="BQ67" s="127"/>
      <c r="BR67" s="128"/>
      <c r="BS67" s="130"/>
      <c r="BT67" s="127"/>
      <c r="BU67" s="127"/>
      <c r="BV67" s="130"/>
      <c r="BW67" s="127"/>
      <c r="BX67" s="128"/>
      <c r="BY67" s="129"/>
      <c r="BZ67" s="127"/>
      <c r="CA67" s="128"/>
      <c r="CB67" s="129"/>
      <c r="CC67" s="127"/>
      <c r="CD67" s="128"/>
      <c r="CE67" s="129"/>
      <c r="CF67" s="127"/>
      <c r="CG67" s="128"/>
      <c r="CH67" s="129"/>
      <c r="CI67" s="127"/>
      <c r="CJ67" s="128"/>
      <c r="CK67" s="130">
        <f>+IF($O67&gt;J$8,"FIN",(J$19-SUM(CL$25:CL66))*VLOOKUP($O67,$A:$N,10,0)/VLOOKUP(J$13,$K$1:$M$4,2,0))</f>
        <v>4.3819278062276368</v>
      </c>
      <c r="CL67" s="131">
        <f t="shared" si="65"/>
        <v>179.77139717857145</v>
      </c>
      <c r="CM67" s="128">
        <f t="shared" ref="CM67" si="88">+SUM(CK67:CL67)</f>
        <v>184.1533249847991</v>
      </c>
      <c r="CN67" s="130">
        <f>+IF($O67&gt;K$8,"FIN",(K$19-SUM(CO$25:CO66))*VLOOKUP($O67,$A:$N,11,0)/VLOOKUP(K$13,$K$1:$M$4,2,0))</f>
        <v>5.2016971323214625</v>
      </c>
      <c r="CO67" s="131">
        <f t="shared" si="66"/>
        <v>231.18653921428569</v>
      </c>
      <c r="CP67" s="128">
        <f t="shared" si="50"/>
        <v>236.38823634660716</v>
      </c>
      <c r="CQ67" s="130">
        <f>+IF($O67&gt;L$8,"FIN",(L$19-SUM(CR$25:CR66))*VLOOKUP($O67,$A:$N,12,0)/VLOOKUP(L$13,$K$1:$M$4,2,0))</f>
        <v>0</v>
      </c>
      <c r="CR67" s="127">
        <f t="shared" si="86"/>
        <v>0</v>
      </c>
      <c r="CS67" s="128">
        <f t="shared" si="51"/>
        <v>0</v>
      </c>
      <c r="CT67" s="130">
        <f>+IF($O67&gt;M$8,"FIN",(M$19-SUM(CU$25:CU66))*VLOOKUP($O67,$A:$N,13,0)/VLOOKUP(M$13,$K$1:$M$4,2,0))</f>
        <v>0</v>
      </c>
      <c r="CU67" s="127">
        <f t="shared" si="87"/>
        <v>0</v>
      </c>
      <c r="CV67" s="128">
        <f t="shared" si="52"/>
        <v>0</v>
      </c>
      <c r="CX67" s="130">
        <f t="shared" si="69"/>
        <v>10.499412379109517</v>
      </c>
      <c r="CY67" s="127">
        <f t="shared" si="70"/>
        <v>451.6596004177643</v>
      </c>
      <c r="CZ67" s="128">
        <f t="shared" si="71"/>
        <v>462.15901279687381</v>
      </c>
      <c r="DA67" s="224">
        <f t="shared" si="72"/>
        <v>20.847222222222221</v>
      </c>
      <c r="DB67" s="225">
        <f t="shared" si="3"/>
        <v>9415.8480587092254</v>
      </c>
    </row>
    <row r="68" spans="1:106" s="16" customFormat="1" x14ac:dyDescent="0.25">
      <c r="A68" s="125">
        <f t="shared" si="84"/>
        <v>51875</v>
      </c>
      <c r="B68" s="126"/>
      <c r="C68" s="138"/>
      <c r="D68" s="139"/>
      <c r="E68" s="139"/>
      <c r="F68" s="139"/>
      <c r="G68" s="139"/>
      <c r="H68" s="139"/>
      <c r="I68" s="136"/>
      <c r="J68" s="136"/>
      <c r="K68" s="136"/>
      <c r="L68" s="136">
        <v>0.05</v>
      </c>
      <c r="M68" s="137">
        <v>4.1250000000000002E-2</v>
      </c>
      <c r="N68" s="124">
        <f t="shared" si="4"/>
        <v>2042</v>
      </c>
      <c r="O68" s="126">
        <f t="shared" si="85"/>
        <v>51875</v>
      </c>
      <c r="P68" s="129"/>
      <c r="Q68" s="127"/>
      <c r="R68" s="127"/>
      <c r="S68" s="128"/>
      <c r="T68" s="130"/>
      <c r="U68" s="127"/>
      <c r="V68" s="127"/>
      <c r="W68" s="128"/>
      <c r="X68" s="130"/>
      <c r="Y68" s="127"/>
      <c r="Z68" s="127"/>
      <c r="AA68" s="128"/>
      <c r="AB68" s="130"/>
      <c r="AC68" s="127"/>
      <c r="AD68" s="127"/>
      <c r="AE68" s="128"/>
      <c r="AF68" s="127"/>
      <c r="AG68" s="127"/>
      <c r="AH68" s="127"/>
      <c r="AI68" s="128"/>
      <c r="AJ68" s="127"/>
      <c r="AK68" s="127"/>
      <c r="AL68" s="127"/>
      <c r="AM68" s="128"/>
      <c r="AN68" s="127"/>
      <c r="AO68" s="127"/>
      <c r="AP68" s="127"/>
      <c r="AQ68" s="128"/>
      <c r="AR68" s="127"/>
      <c r="AS68" s="127"/>
      <c r="AT68" s="127"/>
      <c r="AU68" s="128"/>
      <c r="AV68" s="130"/>
      <c r="AW68" s="127"/>
      <c r="AX68" s="127"/>
      <c r="AY68" s="128"/>
      <c r="AZ68" s="130"/>
      <c r="BA68" s="127"/>
      <c r="BB68" s="127"/>
      <c r="BC68" s="128"/>
      <c r="BD68" s="130">
        <f>+IF($O68&gt;L$8,"FIN",(L$16-SUM(BE$25:BE67))*VLOOKUP($O68,$A:$N,12,0)/VLOOKUP(L$13,$K$1:$M$4,2,0))</f>
        <v>0.55113636363636442</v>
      </c>
      <c r="BE68" s="127">
        <f t="shared" si="80"/>
        <v>2.2045454545454546</v>
      </c>
      <c r="BF68" s="127">
        <f t="shared" si="36"/>
        <v>2.7556818181818192</v>
      </c>
      <c r="BG68" s="128">
        <f t="shared" si="81"/>
        <v>0.36025517022944475</v>
      </c>
      <c r="BH68" s="130">
        <f>+IF($O68&gt;M$8,"FIN",(M$16-SUM(BI$25:BI67))*VLOOKUP($O68,$A:$N,13,0)/VLOOKUP(M$13,$K$1:$M$4,2,0))</f>
        <v>0.45468750000000063</v>
      </c>
      <c r="BI68" s="127">
        <f t="shared" si="82"/>
        <v>2.2045454545454546</v>
      </c>
      <c r="BJ68" s="127">
        <f t="shared" si="39"/>
        <v>2.6592329545454554</v>
      </c>
      <c r="BK68" s="128">
        <f t="shared" si="83"/>
        <v>0.34764623927141414</v>
      </c>
      <c r="BL68" s="124"/>
      <c r="BM68" s="129"/>
      <c r="BN68" s="127"/>
      <c r="BO68" s="127"/>
      <c r="BP68" s="130"/>
      <c r="BQ68" s="127"/>
      <c r="BR68" s="128"/>
      <c r="BS68" s="130"/>
      <c r="BT68" s="127"/>
      <c r="BU68" s="127"/>
      <c r="BV68" s="130"/>
      <c r="BW68" s="127"/>
      <c r="BX68" s="128"/>
      <c r="BY68" s="129"/>
      <c r="BZ68" s="127"/>
      <c r="CA68" s="128"/>
      <c r="CB68" s="129"/>
      <c r="CC68" s="127"/>
      <c r="CD68" s="128"/>
      <c r="CE68" s="129"/>
      <c r="CF68" s="127"/>
      <c r="CG68" s="128"/>
      <c r="CH68" s="129"/>
      <c r="CI68" s="127"/>
      <c r="CJ68" s="128"/>
      <c r="CK68" s="130"/>
      <c r="CL68" s="131"/>
      <c r="CM68" s="128"/>
      <c r="CN68" s="130"/>
      <c r="CO68" s="127"/>
      <c r="CP68" s="128"/>
      <c r="CQ68" s="130">
        <f>+IF($O68&gt;L$8,"FIN",(L$19-SUM(CR$25:CR67))*VLOOKUP($O68,$A:$N,12,0)/VLOOKUP(L$13,$K$1:$M$4,2,0))</f>
        <v>0</v>
      </c>
      <c r="CR68" s="127">
        <f t="shared" si="86"/>
        <v>0</v>
      </c>
      <c r="CS68" s="128">
        <f t="shared" si="51"/>
        <v>0</v>
      </c>
      <c r="CT68" s="130">
        <f>+IF($O68&gt;M$8,"FIN",(M$19-SUM(CU$25:CU67))*VLOOKUP($O68,$A:$N,13,0)/VLOOKUP(M$13,$K$1:$M$4,2,0))</f>
        <v>0</v>
      </c>
      <c r="CU68" s="127">
        <f t="shared" si="87"/>
        <v>0</v>
      </c>
      <c r="CV68" s="128">
        <f t="shared" si="52"/>
        <v>0</v>
      </c>
      <c r="CX68" s="130">
        <f t="shared" si="69"/>
        <v>0</v>
      </c>
      <c r="CY68" s="127">
        <f t="shared" si="70"/>
        <v>0</v>
      </c>
      <c r="CZ68" s="128">
        <f t="shared" si="71"/>
        <v>0</v>
      </c>
      <c r="DA68" s="224"/>
      <c r="DB68" s="225"/>
    </row>
    <row r="69" spans="1:106" s="16" customFormat="1" x14ac:dyDescent="0.25">
      <c r="A69" s="125">
        <f t="shared" si="84"/>
        <v>52056</v>
      </c>
      <c r="B69" s="126"/>
      <c r="C69" s="138"/>
      <c r="D69" s="139"/>
      <c r="E69" s="139"/>
      <c r="F69" s="139"/>
      <c r="G69" s="139"/>
      <c r="H69" s="139"/>
      <c r="I69" s="136"/>
      <c r="J69" s="136"/>
      <c r="K69" s="136"/>
      <c r="L69" s="136">
        <v>0.05</v>
      </c>
      <c r="M69" s="137">
        <v>4.1250000000000002E-2</v>
      </c>
      <c r="N69" s="124">
        <f t="shared" si="4"/>
        <v>2042</v>
      </c>
      <c r="O69" s="126">
        <f t="shared" si="85"/>
        <v>52056</v>
      </c>
      <c r="P69" s="129"/>
      <c r="Q69" s="127"/>
      <c r="R69" s="127"/>
      <c r="S69" s="128"/>
      <c r="T69" s="130"/>
      <c r="U69" s="127"/>
      <c r="V69" s="127"/>
      <c r="W69" s="128"/>
      <c r="X69" s="130"/>
      <c r="Y69" s="127"/>
      <c r="Z69" s="127"/>
      <c r="AA69" s="128"/>
      <c r="AB69" s="130"/>
      <c r="AC69" s="127"/>
      <c r="AD69" s="127"/>
      <c r="AE69" s="128"/>
      <c r="AF69" s="127"/>
      <c r="AG69" s="127"/>
      <c r="AH69" s="127"/>
      <c r="AI69" s="128"/>
      <c r="AJ69" s="127"/>
      <c r="AK69" s="127"/>
      <c r="AL69" s="127"/>
      <c r="AM69" s="128"/>
      <c r="AN69" s="127"/>
      <c r="AO69" s="127"/>
      <c r="AP69" s="127"/>
      <c r="AQ69" s="128"/>
      <c r="AR69" s="127"/>
      <c r="AS69" s="127"/>
      <c r="AT69" s="127"/>
      <c r="AU69" s="128"/>
      <c r="AV69" s="130"/>
      <c r="AW69" s="127"/>
      <c r="AX69" s="127"/>
      <c r="AY69" s="128"/>
      <c r="AZ69" s="130"/>
      <c r="BA69" s="127"/>
      <c r="BB69" s="127"/>
      <c r="BC69" s="128"/>
      <c r="BD69" s="130">
        <f>+IF($O69&gt;L$8,"FIN",(L$16-SUM(BE$25:BE68))*VLOOKUP($O69,$A:$N,12,0)/VLOOKUP(L$13,$K$1:$M$4,2,0))</f>
        <v>0.49602272727272806</v>
      </c>
      <c r="BE69" s="127">
        <f t="shared" si="80"/>
        <v>2.2045454545454546</v>
      </c>
      <c r="BF69" s="127">
        <f t="shared" si="36"/>
        <v>2.7005681818181828</v>
      </c>
      <c r="BG69" s="128">
        <f t="shared" si="81"/>
        <v>0.33662003084815639</v>
      </c>
      <c r="BH69" s="130">
        <f>+IF($O69&gt;M$8,"FIN",(M$16-SUM(BI$25:BI68))*VLOOKUP($O69,$A:$N,13,0)/VLOOKUP(M$13,$K$1:$M$4,2,0))</f>
        <v>0.40921875000000069</v>
      </c>
      <c r="BI69" s="127">
        <f t="shared" si="82"/>
        <v>2.2045454545454546</v>
      </c>
      <c r="BJ69" s="127">
        <f t="shared" si="39"/>
        <v>2.6137642045454554</v>
      </c>
      <c r="BK69" s="128">
        <f t="shared" si="83"/>
        <v>0.32580010128517994</v>
      </c>
      <c r="BL69" s="124"/>
      <c r="BM69" s="129"/>
      <c r="BN69" s="127"/>
      <c r="BO69" s="127"/>
      <c r="BP69" s="130"/>
      <c r="BQ69" s="127"/>
      <c r="BR69" s="128"/>
      <c r="BS69" s="130"/>
      <c r="BT69" s="127"/>
      <c r="BU69" s="127"/>
      <c r="BV69" s="130"/>
      <c r="BW69" s="127"/>
      <c r="BX69" s="128"/>
      <c r="BY69" s="129"/>
      <c r="BZ69" s="127"/>
      <c r="CA69" s="128"/>
      <c r="CB69" s="129"/>
      <c r="CC69" s="127"/>
      <c r="CD69" s="128"/>
      <c r="CE69" s="129"/>
      <c r="CF69" s="127"/>
      <c r="CG69" s="128"/>
      <c r="CH69" s="129"/>
      <c r="CI69" s="127"/>
      <c r="CJ69" s="128"/>
      <c r="CK69" s="130"/>
      <c r="CL69" s="127"/>
      <c r="CM69" s="128"/>
      <c r="CN69" s="130"/>
      <c r="CO69" s="127"/>
      <c r="CP69" s="128"/>
      <c r="CQ69" s="130">
        <f>+IF($O69&gt;L$8,"FIN",(L$19-SUM(CR$25:CR68))*VLOOKUP($O69,$A:$N,12,0)/VLOOKUP(L$13,$K$1:$M$4,2,0))</f>
        <v>0</v>
      </c>
      <c r="CR69" s="127">
        <f t="shared" si="86"/>
        <v>0</v>
      </c>
      <c r="CS69" s="128">
        <f t="shared" si="51"/>
        <v>0</v>
      </c>
      <c r="CT69" s="130">
        <f>+IF($O69&gt;M$8,"FIN",(M$19-SUM(CU$25:CU68))*VLOOKUP($O69,$A:$N,13,0)/VLOOKUP(M$13,$K$1:$M$4,2,0))</f>
        <v>0</v>
      </c>
      <c r="CU69" s="127">
        <f t="shared" si="87"/>
        <v>0</v>
      </c>
      <c r="CV69" s="128">
        <f t="shared" si="52"/>
        <v>0</v>
      </c>
      <c r="CX69" s="130">
        <f t="shared" si="69"/>
        <v>0</v>
      </c>
      <c r="CY69" s="127">
        <f t="shared" si="70"/>
        <v>0</v>
      </c>
      <c r="CZ69" s="128">
        <f t="shared" si="71"/>
        <v>0</v>
      </c>
      <c r="DA69" s="224"/>
      <c r="DB69" s="225"/>
    </row>
    <row r="70" spans="1:106" s="16" customFormat="1" x14ac:dyDescent="0.25">
      <c r="A70" s="125">
        <f t="shared" si="84"/>
        <v>52240</v>
      </c>
      <c r="B70" s="126"/>
      <c r="C70" s="138"/>
      <c r="D70" s="139"/>
      <c r="E70" s="139"/>
      <c r="F70" s="139"/>
      <c r="G70" s="139"/>
      <c r="H70" s="139"/>
      <c r="I70" s="136"/>
      <c r="J70" s="136"/>
      <c r="K70" s="136"/>
      <c r="L70" s="136">
        <v>0.05</v>
      </c>
      <c r="M70" s="137">
        <v>4.1250000000000002E-2</v>
      </c>
      <c r="N70" s="124">
        <f t="shared" si="4"/>
        <v>2043</v>
      </c>
      <c r="O70" s="126">
        <f t="shared" si="85"/>
        <v>52240</v>
      </c>
      <c r="P70" s="129"/>
      <c r="Q70" s="127"/>
      <c r="R70" s="127"/>
      <c r="S70" s="128"/>
      <c r="T70" s="129"/>
      <c r="U70" s="127"/>
      <c r="V70" s="127"/>
      <c r="W70" s="128"/>
      <c r="X70" s="130"/>
      <c r="Y70" s="127"/>
      <c r="Z70" s="127"/>
      <c r="AA70" s="128"/>
      <c r="AB70" s="130"/>
      <c r="AC70" s="127"/>
      <c r="AD70" s="127"/>
      <c r="AE70" s="128"/>
      <c r="AF70" s="127"/>
      <c r="AG70" s="127"/>
      <c r="AH70" s="127"/>
      <c r="AI70" s="128"/>
      <c r="AJ70" s="127"/>
      <c r="AK70" s="127"/>
      <c r="AL70" s="127"/>
      <c r="AM70" s="128"/>
      <c r="AN70" s="127"/>
      <c r="AO70" s="127"/>
      <c r="AP70" s="127"/>
      <c r="AQ70" s="128"/>
      <c r="AR70" s="127"/>
      <c r="AS70" s="127"/>
      <c r="AT70" s="127"/>
      <c r="AU70" s="128"/>
      <c r="AV70" s="130"/>
      <c r="AW70" s="127"/>
      <c r="AX70" s="127"/>
      <c r="AY70" s="128"/>
      <c r="AZ70" s="130"/>
      <c r="BA70" s="127"/>
      <c r="BB70" s="127"/>
      <c r="BC70" s="128"/>
      <c r="BD70" s="130">
        <f>+IF($O70&gt;L$8,"FIN",(L$16-SUM(BE$25:BE69))*VLOOKUP($O70,$A:$N,12,0)/VLOOKUP(L$13,$K$1:$M$4,2,0))</f>
        <v>0.44090909090909175</v>
      </c>
      <c r="BE70" s="127">
        <f t="shared" si="80"/>
        <v>2.2045454545454546</v>
      </c>
      <c r="BF70" s="127">
        <f t="shared" si="36"/>
        <v>2.6454545454545464</v>
      </c>
      <c r="BG70" s="128">
        <f t="shared" si="81"/>
        <v>0.31440451220024268</v>
      </c>
      <c r="BH70" s="130">
        <f>+IF($O70&gt;M$8,"FIN",(M$16-SUM(BI$25:BI69))*VLOOKUP($O70,$A:$N,13,0)/VLOOKUP(M$13,$K$1:$M$4,2,0))</f>
        <v>0.36375000000000068</v>
      </c>
      <c r="BI70" s="127">
        <f t="shared" si="82"/>
        <v>2.2045454545454546</v>
      </c>
      <c r="BJ70" s="127">
        <f t="shared" si="39"/>
        <v>2.5682954545454555</v>
      </c>
      <c r="BK70" s="128">
        <f t="shared" si="83"/>
        <v>0.30523438059440228</v>
      </c>
      <c r="BL70" s="124"/>
      <c r="BM70" s="129"/>
      <c r="BN70" s="127"/>
      <c r="BO70" s="127"/>
      <c r="BP70" s="129"/>
      <c r="BQ70" s="127"/>
      <c r="BR70" s="128"/>
      <c r="BS70" s="130"/>
      <c r="BT70" s="127"/>
      <c r="BU70" s="127"/>
      <c r="BV70" s="130"/>
      <c r="BW70" s="127"/>
      <c r="BX70" s="128"/>
      <c r="BY70" s="129"/>
      <c r="BZ70" s="127"/>
      <c r="CA70" s="128"/>
      <c r="CB70" s="129"/>
      <c r="CC70" s="127"/>
      <c r="CD70" s="128"/>
      <c r="CE70" s="129"/>
      <c r="CF70" s="127"/>
      <c r="CG70" s="128"/>
      <c r="CH70" s="129"/>
      <c r="CI70" s="127"/>
      <c r="CJ70" s="128"/>
      <c r="CK70" s="130"/>
      <c r="CL70" s="127"/>
      <c r="CM70" s="128"/>
      <c r="CN70" s="130"/>
      <c r="CO70" s="127"/>
      <c r="CP70" s="128"/>
      <c r="CQ70" s="130">
        <f>+IF($O70&gt;L$8,"FIN",(L$19-SUM(CR$25:CR69))*VLOOKUP($O70,$A:$N,12,0)/VLOOKUP(L$13,$K$1:$M$4,2,0))</f>
        <v>0</v>
      </c>
      <c r="CR70" s="127">
        <f t="shared" si="86"/>
        <v>0</v>
      </c>
      <c r="CS70" s="128">
        <f t="shared" si="51"/>
        <v>0</v>
      </c>
      <c r="CT70" s="130">
        <f>+IF($O70&gt;M$8,"FIN",(M$19-SUM(CU$25:CU69))*VLOOKUP($O70,$A:$N,13,0)/VLOOKUP(M$13,$K$1:$M$4,2,0))</f>
        <v>0</v>
      </c>
      <c r="CU70" s="127">
        <f t="shared" si="87"/>
        <v>0</v>
      </c>
      <c r="CV70" s="128">
        <f t="shared" si="52"/>
        <v>0</v>
      </c>
      <c r="CX70" s="130">
        <f t="shared" si="69"/>
        <v>0</v>
      </c>
      <c r="CY70" s="127">
        <f t="shared" si="70"/>
        <v>0</v>
      </c>
      <c r="CZ70" s="128">
        <f t="shared" si="71"/>
        <v>0</v>
      </c>
      <c r="DA70" s="224"/>
      <c r="DB70" s="225"/>
    </row>
    <row r="71" spans="1:106" s="16" customFormat="1" x14ac:dyDescent="0.25">
      <c r="A71" s="125">
        <f t="shared" si="84"/>
        <v>52421</v>
      </c>
      <c r="B71" s="126"/>
      <c r="C71" s="138"/>
      <c r="D71" s="139"/>
      <c r="E71" s="139"/>
      <c r="F71" s="139"/>
      <c r="G71" s="139"/>
      <c r="H71" s="139"/>
      <c r="I71" s="136"/>
      <c r="J71" s="136"/>
      <c r="K71" s="136"/>
      <c r="L71" s="136">
        <v>0.05</v>
      </c>
      <c r="M71" s="137">
        <v>4.1250000000000002E-2</v>
      </c>
      <c r="N71" s="124">
        <f t="shared" si="4"/>
        <v>2043</v>
      </c>
      <c r="O71" s="126">
        <f t="shared" si="85"/>
        <v>52421</v>
      </c>
      <c r="P71" s="129"/>
      <c r="Q71" s="127"/>
      <c r="R71" s="127"/>
      <c r="S71" s="128"/>
      <c r="T71" s="129"/>
      <c r="U71" s="127"/>
      <c r="V71" s="127"/>
      <c r="W71" s="128"/>
      <c r="X71" s="130"/>
      <c r="Y71" s="127"/>
      <c r="Z71" s="127"/>
      <c r="AA71" s="128"/>
      <c r="AB71" s="130"/>
      <c r="AC71" s="127"/>
      <c r="AD71" s="127"/>
      <c r="AE71" s="128"/>
      <c r="AF71" s="127"/>
      <c r="AG71" s="127"/>
      <c r="AH71" s="127"/>
      <c r="AI71" s="128"/>
      <c r="AJ71" s="127"/>
      <c r="AK71" s="127"/>
      <c r="AL71" s="127"/>
      <c r="AM71" s="128"/>
      <c r="AN71" s="127"/>
      <c r="AO71" s="127"/>
      <c r="AP71" s="127"/>
      <c r="AQ71" s="128"/>
      <c r="AR71" s="127"/>
      <c r="AS71" s="127"/>
      <c r="AT71" s="127"/>
      <c r="AU71" s="128"/>
      <c r="AV71" s="130"/>
      <c r="AW71" s="127"/>
      <c r="AX71" s="127"/>
      <c r="AY71" s="128"/>
      <c r="AZ71" s="130"/>
      <c r="BA71" s="127"/>
      <c r="BB71" s="127"/>
      <c r="BC71" s="128"/>
      <c r="BD71" s="130">
        <f>+IF($O71&gt;L$8,"FIN",(L$16-SUM(BE$25:BE70))*VLOOKUP($O71,$A:$N,12,0)/VLOOKUP(L$13,$K$1:$M$4,2,0))</f>
        <v>0.38579545454545539</v>
      </c>
      <c r="BE71" s="127">
        <f t="shared" si="80"/>
        <v>2.2045454545454546</v>
      </c>
      <c r="BF71" s="127">
        <f t="shared" si="36"/>
        <v>2.59034090909091</v>
      </c>
      <c r="BG71" s="128">
        <f t="shared" si="81"/>
        <v>0.29352767068392122</v>
      </c>
      <c r="BH71" s="130">
        <f>+IF($O71&gt;M$8,"FIN",(M$16-SUM(BI$25:BI70))*VLOOKUP($O71,$A:$N,13,0)/VLOOKUP(M$13,$K$1:$M$4,2,0))</f>
        <v>0.31828125000000068</v>
      </c>
      <c r="BI71" s="127">
        <f t="shared" si="82"/>
        <v>2.2045454545454546</v>
      </c>
      <c r="BJ71" s="127">
        <f t="shared" si="39"/>
        <v>2.5228267045454551</v>
      </c>
      <c r="BK71" s="128">
        <f t="shared" si="83"/>
        <v>0.28587721543737216</v>
      </c>
      <c r="BL71" s="124"/>
      <c r="BM71" s="129"/>
      <c r="BN71" s="127"/>
      <c r="BO71" s="127"/>
      <c r="BP71" s="129"/>
      <c r="BQ71" s="127"/>
      <c r="BR71" s="128"/>
      <c r="BS71" s="130"/>
      <c r="BT71" s="127"/>
      <c r="BU71" s="127"/>
      <c r="BV71" s="130"/>
      <c r="BW71" s="127"/>
      <c r="BX71" s="128"/>
      <c r="BY71" s="129"/>
      <c r="BZ71" s="127"/>
      <c r="CA71" s="128"/>
      <c r="CB71" s="129"/>
      <c r="CC71" s="127"/>
      <c r="CD71" s="128"/>
      <c r="CE71" s="129"/>
      <c r="CF71" s="127"/>
      <c r="CG71" s="128"/>
      <c r="CH71" s="129"/>
      <c r="CI71" s="127"/>
      <c r="CJ71" s="128"/>
      <c r="CK71" s="130"/>
      <c r="CL71" s="127"/>
      <c r="CM71" s="128"/>
      <c r="CN71" s="130"/>
      <c r="CO71" s="127"/>
      <c r="CP71" s="128"/>
      <c r="CQ71" s="130">
        <f>+IF($O71&gt;L$8,"FIN",(L$19-SUM(CR$25:CR70))*VLOOKUP($O71,$A:$N,12,0)/VLOOKUP(L$13,$K$1:$M$4,2,0))</f>
        <v>0</v>
      </c>
      <c r="CR71" s="127">
        <f t="shared" si="86"/>
        <v>0</v>
      </c>
      <c r="CS71" s="128">
        <f t="shared" si="51"/>
        <v>0</v>
      </c>
      <c r="CT71" s="130">
        <f>+IF($O71&gt;M$8,"FIN",(M$19-SUM(CU$25:CU70))*VLOOKUP($O71,$A:$N,13,0)/VLOOKUP(M$13,$K$1:$M$4,2,0))</f>
        <v>0</v>
      </c>
      <c r="CU71" s="127">
        <f t="shared" si="87"/>
        <v>0</v>
      </c>
      <c r="CV71" s="128">
        <f t="shared" si="52"/>
        <v>0</v>
      </c>
      <c r="CX71" s="130">
        <f t="shared" si="69"/>
        <v>0</v>
      </c>
      <c r="CY71" s="127">
        <f t="shared" si="70"/>
        <v>0</v>
      </c>
      <c r="CZ71" s="128">
        <f t="shared" si="71"/>
        <v>0</v>
      </c>
      <c r="DA71" s="224"/>
      <c r="DB71" s="225"/>
    </row>
    <row r="72" spans="1:106" s="16" customFormat="1" x14ac:dyDescent="0.25">
      <c r="A72" s="125">
        <f t="shared" si="84"/>
        <v>52605</v>
      </c>
      <c r="B72" s="126"/>
      <c r="C72" s="138"/>
      <c r="D72" s="139"/>
      <c r="E72" s="139"/>
      <c r="F72" s="139"/>
      <c r="G72" s="139"/>
      <c r="H72" s="139"/>
      <c r="I72" s="136"/>
      <c r="J72" s="136"/>
      <c r="K72" s="136"/>
      <c r="L72" s="136">
        <v>0.05</v>
      </c>
      <c r="M72" s="137">
        <v>4.1250000000000002E-2</v>
      </c>
      <c r="N72" s="124">
        <f t="shared" si="4"/>
        <v>2044</v>
      </c>
      <c r="O72" s="126">
        <f t="shared" si="85"/>
        <v>52605</v>
      </c>
      <c r="P72" s="129"/>
      <c r="Q72" s="127"/>
      <c r="R72" s="127"/>
      <c r="S72" s="128"/>
      <c r="T72" s="129"/>
      <c r="U72" s="127"/>
      <c r="V72" s="127"/>
      <c r="W72" s="128"/>
      <c r="X72" s="130"/>
      <c r="Y72" s="127"/>
      <c r="Z72" s="127"/>
      <c r="AA72" s="128"/>
      <c r="AB72" s="130"/>
      <c r="AC72" s="127"/>
      <c r="AD72" s="127"/>
      <c r="AE72" s="128"/>
      <c r="AF72" s="127"/>
      <c r="AG72" s="127"/>
      <c r="AH72" s="127"/>
      <c r="AI72" s="128"/>
      <c r="AJ72" s="127"/>
      <c r="AK72" s="127"/>
      <c r="AL72" s="127"/>
      <c r="AM72" s="128"/>
      <c r="AN72" s="127"/>
      <c r="AO72" s="127"/>
      <c r="AP72" s="127"/>
      <c r="AQ72" s="128"/>
      <c r="AR72" s="127"/>
      <c r="AS72" s="127"/>
      <c r="AT72" s="127"/>
      <c r="AU72" s="128"/>
      <c r="AV72" s="130"/>
      <c r="AW72" s="127"/>
      <c r="AX72" s="127"/>
      <c r="AY72" s="128"/>
      <c r="AZ72" s="130"/>
      <c r="BA72" s="127"/>
      <c r="BB72" s="127"/>
      <c r="BC72" s="128"/>
      <c r="BD72" s="130">
        <f>+IF($O72&gt;L$8,"FIN",(L$16-SUM(BE$25:BE71))*VLOOKUP($O72,$A:$N,12,0)/VLOOKUP(L$13,$K$1:$M$4,2,0))</f>
        <v>0.33068181818181908</v>
      </c>
      <c r="BE72" s="127">
        <f t="shared" si="80"/>
        <v>2.2045454545454546</v>
      </c>
      <c r="BF72" s="127">
        <f t="shared" si="36"/>
        <v>2.5352272727272736</v>
      </c>
      <c r="BG72" s="128">
        <f t="shared" si="81"/>
        <v>0.27391302199263556</v>
      </c>
      <c r="BH72" s="130">
        <f>+IF($O72&gt;M$8,"FIN",(M$16-SUM(BI$25:BI71))*VLOOKUP($O72,$A:$N,13,0)/VLOOKUP(M$13,$K$1:$M$4,2,0))</f>
        <v>0.27281250000000073</v>
      </c>
      <c r="BI72" s="127">
        <f t="shared" si="82"/>
        <v>2.2045454545454546</v>
      </c>
      <c r="BJ72" s="127">
        <f t="shared" si="39"/>
        <v>2.4773579545454552</v>
      </c>
      <c r="BK72" s="128">
        <f t="shared" si="83"/>
        <v>0.267660659534108</v>
      </c>
      <c r="BL72" s="124"/>
      <c r="BM72" s="129"/>
      <c r="BN72" s="127"/>
      <c r="BO72" s="127"/>
      <c r="BP72" s="129"/>
      <c r="BQ72" s="127"/>
      <c r="BR72" s="128"/>
      <c r="BS72" s="130"/>
      <c r="BT72" s="127"/>
      <c r="BU72" s="127"/>
      <c r="BV72" s="130"/>
      <c r="BW72" s="127"/>
      <c r="BX72" s="128"/>
      <c r="BY72" s="129"/>
      <c r="BZ72" s="127"/>
      <c r="CA72" s="128"/>
      <c r="CB72" s="129"/>
      <c r="CC72" s="127"/>
      <c r="CD72" s="128"/>
      <c r="CE72" s="129"/>
      <c r="CF72" s="127"/>
      <c r="CG72" s="128"/>
      <c r="CH72" s="129"/>
      <c r="CI72" s="127"/>
      <c r="CJ72" s="128"/>
      <c r="CK72" s="130"/>
      <c r="CL72" s="127"/>
      <c r="CM72" s="128"/>
      <c r="CN72" s="130"/>
      <c r="CO72" s="127"/>
      <c r="CP72" s="128"/>
      <c r="CQ72" s="130">
        <f>+IF($O72&gt;L$8,"FIN",(L$19-SUM(CR$25:CR71))*VLOOKUP($O72,$A:$N,12,0)/VLOOKUP(L$13,$K$1:$M$4,2,0))</f>
        <v>0</v>
      </c>
      <c r="CR72" s="127">
        <f t="shared" si="86"/>
        <v>0</v>
      </c>
      <c r="CS72" s="128">
        <f t="shared" si="51"/>
        <v>0</v>
      </c>
      <c r="CT72" s="130">
        <f>+IF($O72&gt;M$8,"FIN",(M$19-SUM(CU$25:CU71))*VLOOKUP($O72,$A:$N,13,0)/VLOOKUP(M$13,$K$1:$M$4,2,0))</f>
        <v>0</v>
      </c>
      <c r="CU72" s="127">
        <f t="shared" si="87"/>
        <v>0</v>
      </c>
      <c r="CV72" s="128">
        <f t="shared" si="52"/>
        <v>0</v>
      </c>
      <c r="CX72" s="130">
        <f t="shared" si="69"/>
        <v>0</v>
      </c>
      <c r="CY72" s="127">
        <f t="shared" si="70"/>
        <v>0</v>
      </c>
      <c r="CZ72" s="128">
        <f t="shared" si="71"/>
        <v>0</v>
      </c>
      <c r="DA72" s="224"/>
      <c r="DB72" s="225"/>
    </row>
    <row r="73" spans="1:106" s="16" customFormat="1" x14ac:dyDescent="0.25">
      <c r="A73" s="125">
        <f t="shared" si="84"/>
        <v>52787</v>
      </c>
      <c r="B73" s="126"/>
      <c r="C73" s="138"/>
      <c r="D73" s="139"/>
      <c r="E73" s="139"/>
      <c r="F73" s="139"/>
      <c r="G73" s="139"/>
      <c r="H73" s="139"/>
      <c r="I73" s="136"/>
      <c r="J73" s="139"/>
      <c r="K73" s="139"/>
      <c r="L73" s="136">
        <v>0.05</v>
      </c>
      <c r="M73" s="137">
        <v>4.1250000000000002E-2</v>
      </c>
      <c r="N73" s="124">
        <f t="shared" si="4"/>
        <v>2044</v>
      </c>
      <c r="O73" s="126">
        <f t="shared" si="85"/>
        <v>52787</v>
      </c>
      <c r="P73" s="129"/>
      <c r="Q73" s="127"/>
      <c r="R73" s="127"/>
      <c r="S73" s="128"/>
      <c r="T73" s="129"/>
      <c r="U73" s="127"/>
      <c r="V73" s="127"/>
      <c r="W73" s="128"/>
      <c r="X73" s="130"/>
      <c r="Y73" s="127"/>
      <c r="Z73" s="127"/>
      <c r="AA73" s="128"/>
      <c r="AB73" s="130"/>
      <c r="AC73" s="127"/>
      <c r="AD73" s="127"/>
      <c r="AE73" s="128"/>
      <c r="AF73" s="127"/>
      <c r="AG73" s="127"/>
      <c r="AH73" s="127"/>
      <c r="AI73" s="128"/>
      <c r="AJ73" s="127"/>
      <c r="AK73" s="127"/>
      <c r="AL73" s="127"/>
      <c r="AM73" s="128"/>
      <c r="AN73" s="127"/>
      <c r="AO73" s="127"/>
      <c r="AP73" s="127"/>
      <c r="AQ73" s="128"/>
      <c r="AR73" s="127"/>
      <c r="AS73" s="127"/>
      <c r="AT73" s="127"/>
      <c r="AU73" s="128"/>
      <c r="AV73" s="127"/>
      <c r="AW73" s="127"/>
      <c r="AX73" s="127"/>
      <c r="AY73" s="128"/>
      <c r="AZ73" s="130"/>
      <c r="BA73" s="127"/>
      <c r="BB73" s="127"/>
      <c r="BC73" s="128"/>
      <c r="BD73" s="130">
        <f>+IF($O73&gt;L$8,"FIN",(L$16-SUM(BE$25:BE72))*VLOOKUP($O73,$A:$N,12,0)/VLOOKUP(L$13,$K$1:$M$4,2,0))</f>
        <v>0.27556818181818271</v>
      </c>
      <c r="BE73" s="127">
        <f t="shared" si="80"/>
        <v>2.2045454545454546</v>
      </c>
      <c r="BF73" s="127">
        <f t="shared" si="36"/>
        <v>2.4801136363636371</v>
      </c>
      <c r="BG73" s="128">
        <f t="shared" si="81"/>
        <v>0.25548830136898354</v>
      </c>
      <c r="BH73" s="130">
        <f>+IF($O73&gt;M$8,"FIN",(M$16-SUM(BI$25:BI72))*VLOOKUP($O73,$A:$N,13,0)/VLOOKUP(M$13,$K$1:$M$4,2,0))</f>
        <v>0.22734375000000076</v>
      </c>
      <c r="BI73" s="127">
        <f t="shared" si="82"/>
        <v>2.2045454545454546</v>
      </c>
      <c r="BJ73" s="127">
        <f t="shared" si="39"/>
        <v>2.4318892045454552</v>
      </c>
      <c r="BK73" s="128">
        <f t="shared" si="83"/>
        <v>0.25052047328680888</v>
      </c>
      <c r="BL73" s="124"/>
      <c r="BM73" s="129"/>
      <c r="BN73" s="127"/>
      <c r="BO73" s="127"/>
      <c r="BP73" s="129"/>
      <c r="BQ73" s="127"/>
      <c r="BR73" s="128"/>
      <c r="BS73" s="130"/>
      <c r="BT73" s="127"/>
      <c r="BU73" s="127"/>
      <c r="BV73" s="130"/>
      <c r="BW73" s="127"/>
      <c r="BX73" s="128"/>
      <c r="BY73" s="129"/>
      <c r="BZ73" s="127"/>
      <c r="CA73" s="128"/>
      <c r="CB73" s="129"/>
      <c r="CC73" s="127"/>
      <c r="CD73" s="128"/>
      <c r="CE73" s="129"/>
      <c r="CF73" s="127"/>
      <c r="CG73" s="128"/>
      <c r="CH73" s="129"/>
      <c r="CI73" s="127"/>
      <c r="CJ73" s="128"/>
      <c r="CK73" s="129"/>
      <c r="CL73" s="127"/>
      <c r="CM73" s="128"/>
      <c r="CN73" s="130"/>
      <c r="CO73" s="127"/>
      <c r="CP73" s="128"/>
      <c r="CQ73" s="130">
        <f>+IF($O73&gt;L$8,"FIN",(L$19-SUM(CR$25:CR72))*VLOOKUP($O73,$A:$N,12,0)/VLOOKUP(L$13,$K$1:$M$4,2,0))</f>
        <v>0</v>
      </c>
      <c r="CR73" s="127">
        <f t="shared" si="86"/>
        <v>0</v>
      </c>
      <c r="CS73" s="128">
        <f t="shared" si="51"/>
        <v>0</v>
      </c>
      <c r="CT73" s="130">
        <f>+IF($O73&gt;M$8,"FIN",(M$19-SUM(CU$25:CU72))*VLOOKUP($O73,$A:$N,13,0)/VLOOKUP(M$13,$K$1:$M$4,2,0))</f>
        <v>0</v>
      </c>
      <c r="CU73" s="127">
        <f t="shared" si="87"/>
        <v>0</v>
      </c>
      <c r="CV73" s="128">
        <f t="shared" si="52"/>
        <v>0</v>
      </c>
      <c r="CX73" s="130">
        <f t="shared" si="69"/>
        <v>0</v>
      </c>
      <c r="CY73" s="127">
        <f t="shared" si="70"/>
        <v>0</v>
      </c>
      <c r="CZ73" s="128">
        <f t="shared" si="71"/>
        <v>0</v>
      </c>
      <c r="DA73" s="224"/>
      <c r="DB73" s="225"/>
    </row>
    <row r="74" spans="1:106" s="16" customFormat="1" x14ac:dyDescent="0.25">
      <c r="A74" s="125">
        <f t="shared" si="84"/>
        <v>52971</v>
      </c>
      <c r="B74" s="126"/>
      <c r="C74" s="138"/>
      <c r="D74" s="139"/>
      <c r="E74" s="139"/>
      <c r="F74" s="139"/>
      <c r="G74" s="139"/>
      <c r="H74" s="139"/>
      <c r="I74" s="136"/>
      <c r="J74" s="139"/>
      <c r="K74" s="139"/>
      <c r="L74" s="136">
        <v>0.05</v>
      </c>
      <c r="M74" s="137">
        <v>4.1250000000000002E-2</v>
      </c>
      <c r="N74" s="124">
        <f t="shared" si="4"/>
        <v>2045</v>
      </c>
      <c r="O74" s="126">
        <f t="shared" si="85"/>
        <v>52971</v>
      </c>
      <c r="P74" s="129"/>
      <c r="Q74" s="127"/>
      <c r="R74" s="127"/>
      <c r="S74" s="128"/>
      <c r="T74" s="129"/>
      <c r="U74" s="127"/>
      <c r="V74" s="127"/>
      <c r="W74" s="128"/>
      <c r="X74" s="130"/>
      <c r="Y74" s="127"/>
      <c r="Z74" s="127"/>
      <c r="AA74" s="128"/>
      <c r="AB74" s="130"/>
      <c r="AC74" s="127"/>
      <c r="AD74" s="127"/>
      <c r="AE74" s="128"/>
      <c r="AF74" s="127"/>
      <c r="AG74" s="127"/>
      <c r="AH74" s="127"/>
      <c r="AI74" s="128"/>
      <c r="AJ74" s="127"/>
      <c r="AK74" s="127"/>
      <c r="AL74" s="127"/>
      <c r="AM74" s="128"/>
      <c r="AN74" s="127"/>
      <c r="AO74" s="127"/>
      <c r="AP74" s="127"/>
      <c r="AQ74" s="128"/>
      <c r="AR74" s="127"/>
      <c r="AS74" s="127"/>
      <c r="AT74" s="127"/>
      <c r="AU74" s="128"/>
      <c r="AV74" s="127"/>
      <c r="AW74" s="127"/>
      <c r="AX74" s="127"/>
      <c r="AY74" s="128"/>
      <c r="AZ74" s="130"/>
      <c r="BA74" s="127"/>
      <c r="BB74" s="127"/>
      <c r="BC74" s="128"/>
      <c r="BD74" s="130">
        <f>+IF($O74&gt;L$8,"FIN",(L$16-SUM(BE$25:BE73))*VLOOKUP($O74,$A:$N,12,0)/VLOOKUP(L$13,$K$1:$M$4,2,0))</f>
        <v>0.2204545454545464</v>
      </c>
      <c r="BE74" s="127">
        <f t="shared" si="80"/>
        <v>2.2045454545454546</v>
      </c>
      <c r="BF74" s="127">
        <f t="shared" si="36"/>
        <v>2.4250000000000012</v>
      </c>
      <c r="BG74" s="128">
        <f t="shared" si="81"/>
        <v>0.23818523651533532</v>
      </c>
      <c r="BH74" s="130">
        <f>+IF($O74&gt;M$8,"FIN",(M$16-SUM(BI$25:BI73))*VLOOKUP($O74,$A:$N,13,0)/VLOOKUP(M$13,$K$1:$M$4,2,0))</f>
        <v>0.18187500000000079</v>
      </c>
      <c r="BI74" s="127">
        <f t="shared" si="82"/>
        <v>2.2045454545454546</v>
      </c>
      <c r="BJ74" s="127">
        <f t="shared" si="39"/>
        <v>2.3864204545454553</v>
      </c>
      <c r="BK74" s="128">
        <f t="shared" si="83"/>
        <v>0.2343959259344095</v>
      </c>
      <c r="BL74" s="124"/>
      <c r="BM74" s="129"/>
      <c r="BN74" s="127"/>
      <c r="BO74" s="127"/>
      <c r="BP74" s="129"/>
      <c r="BQ74" s="127"/>
      <c r="BR74" s="128"/>
      <c r="BS74" s="130"/>
      <c r="BT74" s="127"/>
      <c r="BU74" s="127"/>
      <c r="BV74" s="130"/>
      <c r="BW74" s="127"/>
      <c r="BX74" s="128"/>
      <c r="BY74" s="129"/>
      <c r="BZ74" s="127"/>
      <c r="CA74" s="128"/>
      <c r="CB74" s="129"/>
      <c r="CC74" s="127"/>
      <c r="CD74" s="128"/>
      <c r="CE74" s="129"/>
      <c r="CF74" s="127"/>
      <c r="CG74" s="128"/>
      <c r="CH74" s="129"/>
      <c r="CI74" s="127"/>
      <c r="CJ74" s="128"/>
      <c r="CK74" s="129"/>
      <c r="CL74" s="127"/>
      <c r="CM74" s="128"/>
      <c r="CN74" s="130"/>
      <c r="CO74" s="127"/>
      <c r="CP74" s="128"/>
      <c r="CQ74" s="130">
        <f>+IF($O74&gt;L$8,"FIN",(L$19-SUM(CR$25:CR73))*VLOOKUP($O74,$A:$N,12,0)/VLOOKUP(L$13,$K$1:$M$4,2,0))</f>
        <v>0</v>
      </c>
      <c r="CR74" s="127">
        <f t="shared" si="86"/>
        <v>0</v>
      </c>
      <c r="CS74" s="128">
        <f t="shared" si="51"/>
        <v>0</v>
      </c>
      <c r="CT74" s="130">
        <f>+IF($O74&gt;M$8,"FIN",(M$19-SUM(CU$25:CU73))*VLOOKUP($O74,$A:$N,13,0)/VLOOKUP(M$13,$K$1:$M$4,2,0))</f>
        <v>0</v>
      </c>
      <c r="CU74" s="127">
        <f t="shared" si="87"/>
        <v>0</v>
      </c>
      <c r="CV74" s="128">
        <f t="shared" si="52"/>
        <v>0</v>
      </c>
      <c r="CX74" s="130">
        <f t="shared" si="69"/>
        <v>0</v>
      </c>
      <c r="CY74" s="127">
        <f t="shared" si="70"/>
        <v>0</v>
      </c>
      <c r="CZ74" s="128">
        <f t="shared" si="71"/>
        <v>0</v>
      </c>
      <c r="DA74" s="224"/>
      <c r="DB74" s="225"/>
    </row>
    <row r="75" spans="1:106" s="16" customFormat="1" x14ac:dyDescent="0.25">
      <c r="A75" s="125">
        <f t="shared" si="84"/>
        <v>53152</v>
      </c>
      <c r="B75" s="126"/>
      <c r="C75" s="138"/>
      <c r="D75" s="139"/>
      <c r="E75" s="139"/>
      <c r="F75" s="139"/>
      <c r="G75" s="139"/>
      <c r="H75" s="139"/>
      <c r="I75" s="136"/>
      <c r="J75" s="139"/>
      <c r="K75" s="139"/>
      <c r="L75" s="136">
        <v>0.05</v>
      </c>
      <c r="M75" s="137">
        <v>4.1250000000000002E-2</v>
      </c>
      <c r="N75" s="124">
        <f t="shared" si="4"/>
        <v>2045</v>
      </c>
      <c r="O75" s="126">
        <f t="shared" si="85"/>
        <v>53152</v>
      </c>
      <c r="P75" s="129"/>
      <c r="Q75" s="127"/>
      <c r="R75" s="127"/>
      <c r="S75" s="128"/>
      <c r="T75" s="129"/>
      <c r="U75" s="127"/>
      <c r="V75" s="127"/>
      <c r="W75" s="128"/>
      <c r="X75" s="130"/>
      <c r="Y75" s="127"/>
      <c r="Z75" s="127"/>
      <c r="AA75" s="128"/>
      <c r="AB75" s="130"/>
      <c r="AC75" s="127"/>
      <c r="AD75" s="127"/>
      <c r="AE75" s="128"/>
      <c r="AF75" s="127"/>
      <c r="AG75" s="127"/>
      <c r="AH75" s="127"/>
      <c r="AI75" s="128"/>
      <c r="AJ75" s="127"/>
      <c r="AK75" s="127"/>
      <c r="AL75" s="127"/>
      <c r="AM75" s="128"/>
      <c r="AN75" s="127"/>
      <c r="AO75" s="127"/>
      <c r="AP75" s="127"/>
      <c r="AQ75" s="128"/>
      <c r="AR75" s="127"/>
      <c r="AS75" s="127"/>
      <c r="AT75" s="127"/>
      <c r="AU75" s="128"/>
      <c r="AV75" s="127"/>
      <c r="AW75" s="127"/>
      <c r="AX75" s="127"/>
      <c r="AY75" s="128"/>
      <c r="AZ75" s="130"/>
      <c r="BA75" s="127"/>
      <c r="BB75" s="127"/>
      <c r="BC75" s="128"/>
      <c r="BD75" s="130">
        <f>+IF($O75&gt;L$8,"FIN",(L$16-SUM(BE$25:BE74))*VLOOKUP($O75,$A:$N,12,0)/VLOOKUP(L$13,$K$1:$M$4,2,0))</f>
        <v>0.16534090909091007</v>
      </c>
      <c r="BE75" s="127">
        <f t="shared" si="80"/>
        <v>2.2045454545454546</v>
      </c>
      <c r="BF75" s="127">
        <f t="shared" si="36"/>
        <v>2.3698863636363647</v>
      </c>
      <c r="BG75" s="128">
        <f t="shared" si="81"/>
        <v>0.2219393325023494</v>
      </c>
      <c r="BH75" s="130">
        <f>+IF($O75&gt;M$8,"FIN",(M$16-SUM(BI$25:BI74))*VLOOKUP($O75,$A:$N,13,0)/VLOOKUP(M$13,$K$1:$M$4,2,0))</f>
        <v>0.13640625000000081</v>
      </c>
      <c r="BI75" s="127">
        <f t="shared" si="82"/>
        <v>2.2045454545454546</v>
      </c>
      <c r="BJ75" s="127">
        <f t="shared" si="39"/>
        <v>2.3409517045454553</v>
      </c>
      <c r="BK75" s="128">
        <f t="shared" si="83"/>
        <v>0.21922960809389044</v>
      </c>
      <c r="BL75" s="124"/>
      <c r="BM75" s="129"/>
      <c r="BN75" s="127"/>
      <c r="BO75" s="127"/>
      <c r="BP75" s="129"/>
      <c r="BQ75" s="127"/>
      <c r="BR75" s="128"/>
      <c r="BS75" s="130"/>
      <c r="BT75" s="127"/>
      <c r="BU75" s="127"/>
      <c r="BV75" s="130"/>
      <c r="BW75" s="127"/>
      <c r="BX75" s="128"/>
      <c r="BY75" s="129"/>
      <c r="BZ75" s="127"/>
      <c r="CA75" s="128"/>
      <c r="CB75" s="129"/>
      <c r="CC75" s="127"/>
      <c r="CD75" s="128"/>
      <c r="CE75" s="129"/>
      <c r="CF75" s="127"/>
      <c r="CG75" s="128"/>
      <c r="CH75" s="129"/>
      <c r="CI75" s="127"/>
      <c r="CJ75" s="128"/>
      <c r="CK75" s="129"/>
      <c r="CL75" s="127"/>
      <c r="CM75" s="128"/>
      <c r="CN75" s="130"/>
      <c r="CO75" s="127"/>
      <c r="CP75" s="128"/>
      <c r="CQ75" s="130">
        <f>+IF($O75&gt;L$8,"FIN",(L$19-SUM(CR$25:CR74))*VLOOKUP($O75,$A:$N,12,0)/VLOOKUP(L$13,$K$1:$M$4,2,0))</f>
        <v>0</v>
      </c>
      <c r="CR75" s="127">
        <f t="shared" si="86"/>
        <v>0</v>
      </c>
      <c r="CS75" s="128">
        <f t="shared" si="51"/>
        <v>0</v>
      </c>
      <c r="CT75" s="130">
        <f>+IF($O75&gt;M$8,"FIN",(M$19-SUM(CU$25:CU74))*VLOOKUP($O75,$A:$N,13,0)/VLOOKUP(M$13,$K$1:$M$4,2,0))</f>
        <v>0</v>
      </c>
      <c r="CU75" s="127">
        <f t="shared" si="87"/>
        <v>0</v>
      </c>
      <c r="CV75" s="128">
        <f t="shared" si="52"/>
        <v>0</v>
      </c>
      <c r="CX75" s="130">
        <f t="shared" si="69"/>
        <v>0</v>
      </c>
      <c r="CY75" s="127">
        <f t="shared" si="70"/>
        <v>0</v>
      </c>
      <c r="CZ75" s="128">
        <f t="shared" si="71"/>
        <v>0</v>
      </c>
      <c r="DA75" s="224"/>
      <c r="DB75" s="225"/>
    </row>
    <row r="76" spans="1:106" s="16" customFormat="1" x14ac:dyDescent="0.25">
      <c r="A76" s="125">
        <f t="shared" si="84"/>
        <v>53336</v>
      </c>
      <c r="B76" s="126"/>
      <c r="C76" s="138"/>
      <c r="D76" s="139"/>
      <c r="E76" s="139"/>
      <c r="F76" s="139"/>
      <c r="G76" s="139"/>
      <c r="H76" s="139"/>
      <c r="I76" s="136"/>
      <c r="J76" s="139"/>
      <c r="K76" s="139"/>
      <c r="L76" s="136">
        <v>0.05</v>
      </c>
      <c r="M76" s="137">
        <v>4.1250000000000002E-2</v>
      </c>
      <c r="N76" s="124">
        <f t="shared" si="4"/>
        <v>2046</v>
      </c>
      <c r="O76" s="126">
        <f t="shared" si="85"/>
        <v>53336</v>
      </c>
      <c r="P76" s="129"/>
      <c r="Q76" s="127"/>
      <c r="R76" s="127"/>
      <c r="S76" s="128"/>
      <c r="T76" s="129"/>
      <c r="U76" s="127"/>
      <c r="V76" s="127"/>
      <c r="W76" s="128"/>
      <c r="X76" s="130"/>
      <c r="Y76" s="127"/>
      <c r="Z76" s="127"/>
      <c r="AA76" s="128"/>
      <c r="AB76" s="127"/>
      <c r="AC76" s="127"/>
      <c r="AD76" s="127"/>
      <c r="AE76" s="128"/>
      <c r="AF76" s="127"/>
      <c r="AG76" s="127"/>
      <c r="AH76" s="127"/>
      <c r="AI76" s="128"/>
      <c r="AJ76" s="127"/>
      <c r="AK76" s="127"/>
      <c r="AL76" s="127"/>
      <c r="AM76" s="128"/>
      <c r="AN76" s="127"/>
      <c r="AO76" s="127"/>
      <c r="AP76" s="127"/>
      <c r="AQ76" s="128"/>
      <c r="AR76" s="127"/>
      <c r="AS76" s="127"/>
      <c r="AT76" s="127"/>
      <c r="AU76" s="128"/>
      <c r="AV76" s="127"/>
      <c r="AW76" s="127"/>
      <c r="AX76" s="127"/>
      <c r="AY76" s="128"/>
      <c r="AZ76" s="127"/>
      <c r="BA76" s="127"/>
      <c r="BB76" s="127"/>
      <c r="BC76" s="128"/>
      <c r="BD76" s="130">
        <f>+IF($O76&gt;L$8,"FIN",(L$16-SUM(BE$25:BE75))*VLOOKUP($O76,$A:$N,12,0)/VLOOKUP(L$13,$K$1:$M$4,2,0))</f>
        <v>0.11022727272727373</v>
      </c>
      <c r="BE76" s="127">
        <f t="shared" si="80"/>
        <v>2.2045454545454546</v>
      </c>
      <c r="BF76" s="127">
        <f t="shared" si="36"/>
        <v>2.3147727272727283</v>
      </c>
      <c r="BG76" s="128">
        <f t="shared" si="81"/>
        <v>0.2066896680504976</v>
      </c>
      <c r="BH76" s="130">
        <f>+IF($O76&gt;M$8,"FIN",(M$16-SUM(BI$25:BI75))*VLOOKUP($O76,$A:$N,13,0)/VLOOKUP(M$13,$K$1:$M$4,2,0))</f>
        <v>9.0937500000000837E-2</v>
      </c>
      <c r="BI76" s="127">
        <f t="shared" si="82"/>
        <v>2.2045454545454546</v>
      </c>
      <c r="BJ76" s="127">
        <f t="shared" si="39"/>
        <v>2.2954829545454554</v>
      </c>
      <c r="BK76" s="128">
        <f t="shared" si="83"/>
        <v>0.20496725415007677</v>
      </c>
      <c r="BL76" s="124"/>
      <c r="BM76" s="129"/>
      <c r="BN76" s="127"/>
      <c r="BO76" s="127"/>
      <c r="BP76" s="129"/>
      <c r="BQ76" s="127"/>
      <c r="BR76" s="128"/>
      <c r="BS76" s="130"/>
      <c r="BT76" s="127"/>
      <c r="BU76" s="127"/>
      <c r="BV76" s="129"/>
      <c r="BW76" s="127"/>
      <c r="BX76" s="128"/>
      <c r="BY76" s="129"/>
      <c r="BZ76" s="127"/>
      <c r="CA76" s="128"/>
      <c r="CB76" s="129"/>
      <c r="CC76" s="127"/>
      <c r="CD76" s="128"/>
      <c r="CE76" s="129"/>
      <c r="CF76" s="127"/>
      <c r="CG76" s="128"/>
      <c r="CH76" s="129"/>
      <c r="CI76" s="127"/>
      <c r="CJ76" s="128"/>
      <c r="CK76" s="129"/>
      <c r="CL76" s="127"/>
      <c r="CM76" s="128"/>
      <c r="CN76" s="129"/>
      <c r="CO76" s="127"/>
      <c r="CP76" s="128"/>
      <c r="CQ76" s="130">
        <f>+IF($O76&gt;L$8,"FIN",(L$19-SUM(CR$25:CR75))*VLOOKUP($O76,$A:$N,12,0)/VLOOKUP(L$13,$K$1:$M$4,2,0))</f>
        <v>0</v>
      </c>
      <c r="CR76" s="127">
        <f t="shared" si="86"/>
        <v>0</v>
      </c>
      <c r="CS76" s="128">
        <f t="shared" si="51"/>
        <v>0</v>
      </c>
      <c r="CT76" s="130">
        <f>+IF($O76&gt;M$8,"FIN",(M$19-SUM(CU$25:CU75))*VLOOKUP($O76,$A:$N,13,0)/VLOOKUP(M$13,$K$1:$M$4,2,0))</f>
        <v>0</v>
      </c>
      <c r="CU76" s="127">
        <f t="shared" si="87"/>
        <v>0</v>
      </c>
      <c r="CV76" s="128">
        <f t="shared" si="52"/>
        <v>0</v>
      </c>
      <c r="CX76" s="130">
        <f t="shared" si="69"/>
        <v>0</v>
      </c>
      <c r="CY76" s="127">
        <f t="shared" si="70"/>
        <v>0</v>
      </c>
      <c r="CZ76" s="128">
        <f t="shared" si="71"/>
        <v>0</v>
      </c>
      <c r="DA76" s="224"/>
      <c r="DB76" s="225"/>
    </row>
    <row r="77" spans="1:106" s="16" customFormat="1" x14ac:dyDescent="0.25">
      <c r="A77" s="150">
        <f t="shared" si="84"/>
        <v>53517</v>
      </c>
      <c r="B77" s="140"/>
      <c r="C77" s="141"/>
      <c r="D77" s="142"/>
      <c r="E77" s="142"/>
      <c r="F77" s="142"/>
      <c r="G77" s="142"/>
      <c r="H77" s="142"/>
      <c r="I77" s="143"/>
      <c r="J77" s="142"/>
      <c r="K77" s="142"/>
      <c r="L77" s="143">
        <v>0.05</v>
      </c>
      <c r="M77" s="144">
        <v>4.1250000000000002E-2</v>
      </c>
      <c r="N77" s="124">
        <f t="shared" si="4"/>
        <v>2046</v>
      </c>
      <c r="O77" s="126">
        <f t="shared" si="85"/>
        <v>53517</v>
      </c>
      <c r="P77" s="129"/>
      <c r="Q77" s="127"/>
      <c r="R77" s="127"/>
      <c r="S77" s="128"/>
      <c r="T77" s="129"/>
      <c r="U77" s="127"/>
      <c r="V77" s="127"/>
      <c r="W77" s="128"/>
      <c r="X77" s="130"/>
      <c r="Y77" s="127"/>
      <c r="Z77" s="127"/>
      <c r="AA77" s="128"/>
      <c r="AB77" s="127"/>
      <c r="AC77" s="127"/>
      <c r="AD77" s="127"/>
      <c r="AE77" s="128"/>
      <c r="AF77" s="127"/>
      <c r="AG77" s="127"/>
      <c r="AH77" s="127"/>
      <c r="AI77" s="128"/>
      <c r="AJ77" s="127"/>
      <c r="AK77" s="127"/>
      <c r="AL77" s="127"/>
      <c r="AM77" s="128"/>
      <c r="AN77" s="127"/>
      <c r="AO77" s="127"/>
      <c r="AP77" s="127"/>
      <c r="AQ77" s="128"/>
      <c r="AR77" s="127"/>
      <c r="AS77" s="127"/>
      <c r="AT77" s="127"/>
      <c r="AU77" s="128"/>
      <c r="AV77" s="127"/>
      <c r="AW77" s="127"/>
      <c r="AX77" s="127"/>
      <c r="AY77" s="128"/>
      <c r="AZ77" s="127"/>
      <c r="BA77" s="127"/>
      <c r="BB77" s="127"/>
      <c r="BC77" s="128"/>
      <c r="BD77" s="130">
        <f>+IF($O77&gt;L$8,"FIN",(L$16-SUM(BE$25:BE76))*VLOOKUP($O77,$A:$N,12,0)/VLOOKUP(L$13,$K$1:$M$4,2,0))</f>
        <v>5.5113636363637399E-2</v>
      </c>
      <c r="BE77" s="127">
        <f t="shared" si="80"/>
        <v>2.2045454545454546</v>
      </c>
      <c r="BF77" s="127">
        <f t="shared" si="36"/>
        <v>2.2596590909090919</v>
      </c>
      <c r="BG77" s="128">
        <f t="shared" si="81"/>
        <v>0.1923787025918885</v>
      </c>
      <c r="BH77" s="130">
        <f>+IF($O77&gt;M$8,"FIN",(M$16-SUM(BI$25:BI76))*VLOOKUP($O77,$A:$N,13,0)/VLOOKUP(M$13,$K$1:$M$4,2,0))</f>
        <v>4.5468750000000856E-2</v>
      </c>
      <c r="BI77" s="127">
        <f t="shared" si="82"/>
        <v>2.2045454545454546</v>
      </c>
      <c r="BJ77" s="127">
        <f t="shared" si="39"/>
        <v>2.2500142045454554</v>
      </c>
      <c r="BK77" s="128">
        <f t="shared" si="83"/>
        <v>0.19155757398326456</v>
      </c>
      <c r="BL77" s="124"/>
      <c r="BM77" s="129"/>
      <c r="BN77" s="127"/>
      <c r="BO77" s="127"/>
      <c r="BP77" s="129"/>
      <c r="BQ77" s="127"/>
      <c r="BR77" s="128"/>
      <c r="BS77" s="130"/>
      <c r="BT77" s="127"/>
      <c r="BU77" s="127"/>
      <c r="BV77" s="129"/>
      <c r="BW77" s="127"/>
      <c r="BX77" s="128"/>
      <c r="BY77" s="129"/>
      <c r="BZ77" s="127"/>
      <c r="CA77" s="128"/>
      <c r="CB77" s="129"/>
      <c r="CC77" s="127"/>
      <c r="CD77" s="128"/>
      <c r="CE77" s="129"/>
      <c r="CF77" s="127"/>
      <c r="CG77" s="128"/>
      <c r="CH77" s="129"/>
      <c r="CI77" s="127"/>
      <c r="CJ77" s="128"/>
      <c r="CK77" s="129"/>
      <c r="CL77" s="127"/>
      <c r="CM77" s="128"/>
      <c r="CN77" s="129"/>
      <c r="CO77" s="127"/>
      <c r="CP77" s="128"/>
      <c r="CQ77" s="130">
        <f>+IF($O77&gt;L$8,"FIN",(L$19-SUM(CR$25:CR76))*VLOOKUP($O77,$A:$N,12,0)/VLOOKUP(L$13,$K$1:$M$4,2,0))</f>
        <v>0</v>
      </c>
      <c r="CR77" s="127">
        <f t="shared" si="86"/>
        <v>0</v>
      </c>
      <c r="CS77" s="128">
        <f t="shared" si="51"/>
        <v>0</v>
      </c>
      <c r="CT77" s="130">
        <f>+IF($O77&gt;M$8,"FIN",(M$19-SUM(CU$25:CU76))*VLOOKUP($O77,$A:$N,13,0)/VLOOKUP(M$13,$K$1:$M$4,2,0))</f>
        <v>0</v>
      </c>
      <c r="CU77" s="127">
        <f t="shared" si="87"/>
        <v>0</v>
      </c>
      <c r="CV77" s="128">
        <f t="shared" si="52"/>
        <v>0</v>
      </c>
      <c r="CX77" s="130">
        <f t="shared" si="69"/>
        <v>0</v>
      </c>
      <c r="CY77" s="127">
        <f t="shared" si="70"/>
        <v>0</v>
      </c>
      <c r="CZ77" s="128">
        <f t="shared" si="71"/>
        <v>0</v>
      </c>
      <c r="DA77" s="224"/>
      <c r="DB77" s="225"/>
    </row>
    <row r="78" spans="1:106" s="16" customFormat="1" x14ac:dyDescent="0.25">
      <c r="O78" s="132" t="s">
        <v>37</v>
      </c>
      <c r="P78" s="161">
        <f>+SUM(P25:P77)</f>
        <v>6.5972222222222223</v>
      </c>
      <c r="Q78" s="159">
        <f>+SUM(Q25:Q77)</f>
        <v>100</v>
      </c>
      <c r="R78" s="159"/>
      <c r="S78" s="160">
        <f>+SUM(S25:S77)</f>
        <v>58.541996711273299</v>
      </c>
      <c r="T78" s="161">
        <f>+SUM(T25:T77)</f>
        <v>3.2986111111111112</v>
      </c>
      <c r="U78" s="159">
        <f>+SUM(U25:U77)</f>
        <v>100</v>
      </c>
      <c r="V78" s="159"/>
      <c r="W78" s="160">
        <f>+SUM(W25:W77)</f>
        <v>56.183492193270595</v>
      </c>
      <c r="X78" s="161">
        <f>+SUM(X25:X77)</f>
        <v>4.8848256944444444</v>
      </c>
      <c r="Y78" s="159">
        <f>+SUM(Y25:Y77)</f>
        <v>97.000000000000014</v>
      </c>
      <c r="Z78" s="159"/>
      <c r="AA78" s="160">
        <f>+SUM(AA25:AA77)</f>
        <v>53.72924439746275</v>
      </c>
      <c r="AB78" s="159">
        <f>+SUM(AB25:AB77)</f>
        <v>0.84477569444444434</v>
      </c>
      <c r="AC78" s="159">
        <f>+SUM(AC25:AC77)</f>
        <v>97.000000000000014</v>
      </c>
      <c r="AD78" s="159"/>
      <c r="AE78" s="160">
        <f>+SUM(AE25:AE77)</f>
        <v>51.268295412138855</v>
      </c>
      <c r="AF78" s="159">
        <f>+SUM(AF25:AF77)</f>
        <v>45.81397569444443</v>
      </c>
      <c r="AG78" s="159">
        <f>+SUM(AG25:AG77)</f>
        <v>97.000000000000014</v>
      </c>
      <c r="AH78" s="159"/>
      <c r="AI78" s="160">
        <f>+SUM(AI25:AI77)</f>
        <v>51.857073594689155</v>
      </c>
      <c r="AJ78" s="159">
        <f>+SUM(AJ25:AJ77)</f>
        <v>37.69022569444445</v>
      </c>
      <c r="AK78" s="159">
        <f>+SUM(AK25:AK77)</f>
        <v>97.000000000000014</v>
      </c>
      <c r="AL78" s="159"/>
      <c r="AM78" s="160">
        <f>+SUM(AM25:AM77)</f>
        <v>47.831028865334524</v>
      </c>
      <c r="AN78" s="159">
        <f>+SUM(AN25:AN77)</f>
        <v>51.480902777777786</v>
      </c>
      <c r="AO78" s="159">
        <f>+SUM(AO25:AO77)</f>
        <v>100.00000000000001</v>
      </c>
      <c r="AP78" s="159"/>
      <c r="AQ78" s="160">
        <f>+SUM(AQ25:AQ77)</f>
        <v>59.46928226786499</v>
      </c>
      <c r="AR78" s="159">
        <f>+SUM(AR25:AR77)</f>
        <v>43.418402777777779</v>
      </c>
      <c r="AS78" s="159">
        <f>+SUM(AS25:AS77)</f>
        <v>100.00000000000001</v>
      </c>
      <c r="AT78" s="159"/>
      <c r="AU78" s="160">
        <f>+SUM(AU25:AU77)</f>
        <v>55.214736390334153</v>
      </c>
      <c r="AV78" s="159">
        <f>+SUM(AV25:AV77)</f>
        <v>52.846974206349209</v>
      </c>
      <c r="AW78" s="159">
        <f>+SUM(AW25:AW77)</f>
        <v>99.999999999999972</v>
      </c>
      <c r="AX78" s="159"/>
      <c r="AY78" s="160">
        <f>+SUM(AY25:AY77)</f>
        <v>52.488439364001735</v>
      </c>
      <c r="AZ78" s="159">
        <f>+SUM(AZ25:AZ77)</f>
        <v>46.141617063492063</v>
      </c>
      <c r="BA78" s="159">
        <f>+SUM(BA25:BA77)</f>
        <v>99.999999999999972</v>
      </c>
      <c r="BB78" s="159"/>
      <c r="BC78" s="160">
        <f>+SUM(BC25:BC77)</f>
        <v>48.774168501138483</v>
      </c>
      <c r="BD78" s="159">
        <f>+SUM(BD25:BD77)</f>
        <v>57.809458648989924</v>
      </c>
      <c r="BE78" s="159">
        <f>+SUM(BE25:BE77)</f>
        <v>96.999999999999957</v>
      </c>
      <c r="BF78" s="159"/>
      <c r="BG78" s="160">
        <f>+SUM(BG25:BG77)</f>
        <v>50.821762672544445</v>
      </c>
      <c r="BH78" s="159">
        <f>+SUM(BH25:BH77)</f>
        <v>48.644060921717191</v>
      </c>
      <c r="BI78" s="159">
        <f>+SUM(BI25:BI77)</f>
        <v>96.999999999999957</v>
      </c>
      <c r="BJ78" s="159"/>
      <c r="BK78" s="160">
        <f>+SUM(BK25:BK77)</f>
        <v>47.065980455066168</v>
      </c>
      <c r="BL78" s="124"/>
      <c r="BM78" s="161">
        <f>+SUM(BM25:BM77)</f>
        <v>138.21890352603677</v>
      </c>
      <c r="BN78" s="159">
        <f>+SUM(BN25:BN77)</f>
        <v>2095.1075902893995</v>
      </c>
      <c r="BO78" s="159"/>
      <c r="BP78" s="161">
        <f>+SUM(BP25:BP77)</f>
        <v>18.947259092850317</v>
      </c>
      <c r="BQ78" s="159">
        <f>+SUM(BQ25:BQ77)</f>
        <v>574.40111776219919</v>
      </c>
      <c r="BR78" s="160"/>
      <c r="BS78" s="161">
        <f>+SUM(BS25:BS77)</f>
        <v>694.9545833333334</v>
      </c>
      <c r="BT78" s="159">
        <f>+SUM(BT25:BT77)</f>
        <v>13800</v>
      </c>
      <c r="BU78" s="159"/>
      <c r="BV78" s="161">
        <f>+SUM(BV25:BV77)</f>
        <v>26.997986111111111</v>
      </c>
      <c r="BW78" s="159">
        <f>+SUM(BW25:BW77)</f>
        <v>3100</v>
      </c>
      <c r="BX78" s="160"/>
      <c r="BY78" s="161">
        <f>+SUM(BY25:BY77)</f>
        <v>9488.5361145173629</v>
      </c>
      <c r="BZ78" s="159">
        <f>+SUM(BZ25:BZ77)</f>
        <v>20089.677640000005</v>
      </c>
      <c r="CA78" s="160"/>
      <c r="CB78" s="161">
        <f>+SUM(CB25:CB77)</f>
        <v>913.89220940050177</v>
      </c>
      <c r="CC78" s="159">
        <f>+SUM(CC25:CC77)</f>
        <v>2352.0035414623517</v>
      </c>
      <c r="CD78" s="160"/>
      <c r="CE78" s="161">
        <f>+SUM(CE25:CE77)</f>
        <v>2621.6450426120145</v>
      </c>
      <c r="CF78" s="159">
        <f>+SUM(CF25:CF77)</f>
        <v>5092.461284</v>
      </c>
      <c r="CG78" s="160"/>
      <c r="CH78" s="161">
        <f>+SUM(CH25:CH77)</f>
        <v>2504.8314803617877</v>
      </c>
      <c r="CI78" s="159">
        <f>+SUM(CI25:CI77)</f>
        <v>5769.0548710000021</v>
      </c>
      <c r="CJ78" s="160"/>
      <c r="CK78" s="161">
        <f>+SUM(CK25:CK77)</f>
        <v>2660.1048291258908</v>
      </c>
      <c r="CL78" s="159">
        <f>+SUM(CL25:CL77)</f>
        <v>5033.599121000002</v>
      </c>
      <c r="CM78" s="160"/>
      <c r="CN78" s="161">
        <f>+SUM(CN25:CN77)</f>
        <v>2986.8498135446789</v>
      </c>
      <c r="CO78" s="159">
        <f>+SUM(CO25:CO77)</f>
        <v>6473.2230979999977</v>
      </c>
      <c r="CP78" s="160"/>
      <c r="CQ78" s="161">
        <f>+SUM(CQ25:CQ77)</f>
        <v>0</v>
      </c>
      <c r="CR78" s="159">
        <f>+SUM(CR25:CR77)</f>
        <v>0</v>
      </c>
      <c r="CS78" s="160"/>
      <c r="CT78" s="161">
        <f>+SUM(CT25:CT77)</f>
        <v>0</v>
      </c>
      <c r="CU78" s="159">
        <f>+SUM(CU25:CU77)</f>
        <v>0</v>
      </c>
      <c r="CV78" s="160"/>
      <c r="CX78" s="161">
        <f>+SUM(CX26:CX77)</f>
        <v>23190.80364400836</v>
      </c>
      <c r="CY78" s="159">
        <f t="shared" ref="CY78:CZ78" si="89">+SUM(CY26:CY77)</f>
        <v>67595.830497366958</v>
      </c>
      <c r="CZ78" s="160">
        <f t="shared" si="89"/>
        <v>90786.634141375296</v>
      </c>
      <c r="DA78" s="226"/>
      <c r="DB78" s="227">
        <f>+SUM(DB27:DB77)/CY78</f>
        <v>11.09102873351083</v>
      </c>
    </row>
    <row r="79" spans="1:106" s="16" customFormat="1" x14ac:dyDescent="0.25"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</row>
    <row r="80" spans="1:106" s="16" customFormat="1" x14ac:dyDescent="0.25"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</row>
    <row r="81" spans="16:60" s="16" customFormat="1" x14ac:dyDescent="0.25"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  <c r="BB81" s="124"/>
      <c r="BC81" s="124"/>
      <c r="BD81" s="124"/>
      <c r="BE81" s="124"/>
      <c r="BF81" s="124"/>
      <c r="BG81" s="124"/>
      <c r="BH81" s="124"/>
    </row>
    <row r="82" spans="16:60" s="16" customFormat="1" x14ac:dyDescent="0.25"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</row>
    <row r="83" spans="16:60" s="16" customFormat="1" x14ac:dyDescent="0.25"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  <c r="BH83" s="124"/>
    </row>
    <row r="84" spans="16:60" s="16" customFormat="1" x14ac:dyDescent="0.25"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</row>
    <row r="85" spans="16:60" s="16" customFormat="1" x14ac:dyDescent="0.25"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</row>
    <row r="86" spans="16:60" s="16" customFormat="1" x14ac:dyDescent="0.25"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  <c r="BB86" s="124"/>
      <c r="BC86" s="124"/>
      <c r="BD86" s="124"/>
      <c r="BE86" s="124"/>
      <c r="BF86" s="124"/>
      <c r="BG86" s="124"/>
      <c r="BH86" s="124"/>
    </row>
    <row r="87" spans="16:60" s="16" customFormat="1" x14ac:dyDescent="0.25"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124"/>
      <c r="AO87" s="124"/>
      <c r="AP87" s="124"/>
      <c r="AQ87" s="124"/>
      <c r="AR87" s="124"/>
      <c r="AS87" s="124"/>
      <c r="AT87" s="124"/>
      <c r="AU87" s="124"/>
      <c r="AV87" s="124"/>
      <c r="AW87" s="124"/>
      <c r="AX87" s="124"/>
      <c r="AY87" s="124"/>
      <c r="AZ87" s="124"/>
      <c r="BA87" s="124"/>
      <c r="BB87" s="124"/>
      <c r="BC87" s="124"/>
      <c r="BD87" s="124"/>
      <c r="BE87" s="124"/>
      <c r="BF87" s="124"/>
      <c r="BG87" s="124"/>
      <c r="BH87" s="124"/>
    </row>
    <row r="88" spans="16:60" s="16" customFormat="1" x14ac:dyDescent="0.25"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124"/>
    </row>
    <row r="89" spans="16:60" s="16" customFormat="1" x14ac:dyDescent="0.25"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</row>
    <row r="90" spans="16:60" s="16" customFormat="1" x14ac:dyDescent="0.25"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</row>
    <row r="91" spans="16:60" s="16" customFormat="1" x14ac:dyDescent="0.25"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124"/>
    </row>
    <row r="92" spans="16:60" s="16" customFormat="1" x14ac:dyDescent="0.25"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4"/>
    </row>
    <row r="93" spans="16:60" s="16" customFormat="1" x14ac:dyDescent="0.25"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4"/>
      <c r="BB93" s="124"/>
      <c r="BC93" s="124"/>
      <c r="BD93" s="124"/>
      <c r="BE93" s="124"/>
      <c r="BF93" s="124"/>
      <c r="BG93" s="124"/>
      <c r="BH93" s="124"/>
    </row>
    <row r="94" spans="16:60" s="16" customFormat="1" x14ac:dyDescent="0.25"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  <c r="BH94" s="124"/>
    </row>
    <row r="95" spans="16:60" s="16" customFormat="1" x14ac:dyDescent="0.25"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  <c r="BB95" s="124"/>
      <c r="BC95" s="124"/>
      <c r="BD95" s="124"/>
      <c r="BE95" s="124"/>
      <c r="BF95" s="124"/>
      <c r="BG95" s="124"/>
      <c r="BH95" s="124"/>
    </row>
    <row r="96" spans="16:60" s="16" customFormat="1" x14ac:dyDescent="0.25"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24"/>
    </row>
    <row r="97" spans="16:60" s="16" customFormat="1" x14ac:dyDescent="0.25"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  <c r="BB97" s="124"/>
      <c r="BC97" s="124"/>
      <c r="BD97" s="124"/>
      <c r="BE97" s="124"/>
      <c r="BF97" s="124"/>
      <c r="BG97" s="124"/>
      <c r="BH97" s="124"/>
    </row>
    <row r="98" spans="16:60" s="16" customFormat="1" x14ac:dyDescent="0.25"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124"/>
      <c r="AU98" s="124"/>
      <c r="AV98" s="124"/>
      <c r="AW98" s="124"/>
      <c r="AX98" s="124"/>
      <c r="AY98" s="124"/>
      <c r="AZ98" s="124"/>
      <c r="BA98" s="124"/>
      <c r="BB98" s="124"/>
      <c r="BC98" s="124"/>
      <c r="BD98" s="124"/>
      <c r="BE98" s="124"/>
      <c r="BF98" s="124"/>
      <c r="BG98" s="124"/>
      <c r="BH98" s="124"/>
    </row>
    <row r="99" spans="16:60" s="16" customFormat="1" x14ac:dyDescent="0.25"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</row>
    <row r="100" spans="16:60" s="16" customFormat="1" x14ac:dyDescent="0.25"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124"/>
      <c r="BA100" s="124"/>
      <c r="BB100" s="124"/>
      <c r="BC100" s="124"/>
      <c r="BD100" s="124"/>
      <c r="BE100" s="124"/>
      <c r="BF100" s="124"/>
      <c r="BG100" s="124"/>
      <c r="BH100" s="124"/>
    </row>
    <row r="101" spans="16:60" s="16" customFormat="1" x14ac:dyDescent="0.25"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/>
      <c r="BA101" s="124"/>
      <c r="BB101" s="124"/>
      <c r="BC101" s="124"/>
      <c r="BD101" s="124"/>
      <c r="BE101" s="124"/>
      <c r="BF101" s="124"/>
      <c r="BG101" s="124"/>
      <c r="BH101" s="124"/>
    </row>
    <row r="102" spans="16:60" s="16" customFormat="1" x14ac:dyDescent="0.25"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</row>
    <row r="103" spans="16:60" s="16" customFormat="1" x14ac:dyDescent="0.25"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124"/>
      <c r="AU103" s="124"/>
      <c r="AV103" s="124"/>
      <c r="AW103" s="124"/>
      <c r="AX103" s="124"/>
      <c r="AY103" s="124"/>
      <c r="AZ103" s="124"/>
      <c r="BA103" s="124"/>
      <c r="BB103" s="124"/>
      <c r="BC103" s="124"/>
      <c r="BD103" s="124"/>
      <c r="BE103" s="124"/>
      <c r="BF103" s="124"/>
      <c r="BG103" s="124"/>
      <c r="BH103" s="124"/>
    </row>
    <row r="104" spans="16:60" s="16" customFormat="1" x14ac:dyDescent="0.25"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</row>
    <row r="105" spans="16:60" s="16" customFormat="1" x14ac:dyDescent="0.25"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6:60" s="16" customFormat="1" x14ac:dyDescent="0.25"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6:60" s="16" customFormat="1" x14ac:dyDescent="0.25"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</row>
    <row r="108" spans="16:60" s="16" customFormat="1" x14ac:dyDescent="0.25"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</row>
    <row r="109" spans="16:60" s="16" customFormat="1" x14ac:dyDescent="0.25"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</row>
    <row r="110" spans="16:60" s="16" customFormat="1" x14ac:dyDescent="0.25"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4"/>
      <c r="BD110" s="124"/>
      <c r="BE110" s="124"/>
      <c r="BF110" s="124"/>
      <c r="BG110" s="124"/>
      <c r="BH110" s="124"/>
    </row>
    <row r="111" spans="16:60" s="16" customFormat="1" x14ac:dyDescent="0.25"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</row>
    <row r="112" spans="16:60" s="16" customFormat="1" x14ac:dyDescent="0.25"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4"/>
      <c r="BE112" s="124"/>
      <c r="BF112" s="124"/>
      <c r="BG112" s="124"/>
      <c r="BH112" s="124"/>
    </row>
    <row r="113" spans="16:60" s="16" customFormat="1" x14ac:dyDescent="0.25"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  <c r="AT113" s="124"/>
      <c r="AU113" s="124"/>
      <c r="AV113" s="124"/>
      <c r="AW113" s="124"/>
      <c r="AX113" s="124"/>
      <c r="AY113" s="124"/>
      <c r="AZ113" s="124"/>
      <c r="BA113" s="124"/>
      <c r="BB113" s="124"/>
      <c r="BC113" s="124"/>
      <c r="BD113" s="124"/>
      <c r="BE113" s="124"/>
      <c r="BF113" s="124"/>
      <c r="BG113" s="124"/>
      <c r="BH113" s="124"/>
    </row>
    <row r="114" spans="16:60" s="16" customFormat="1" x14ac:dyDescent="0.25"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  <c r="AT114" s="124"/>
      <c r="AU114" s="124"/>
      <c r="AV114" s="124"/>
      <c r="AW114" s="124"/>
      <c r="AX114" s="124"/>
      <c r="AY114" s="124"/>
      <c r="AZ114" s="124"/>
      <c r="BA114" s="124"/>
      <c r="BB114" s="124"/>
      <c r="BC114" s="124"/>
      <c r="BD114" s="124"/>
      <c r="BE114" s="124"/>
      <c r="BF114" s="124"/>
      <c r="BG114" s="124"/>
      <c r="BH114" s="124"/>
    </row>
    <row r="115" spans="16:60" s="16" customFormat="1" x14ac:dyDescent="0.25"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124"/>
      <c r="AW115" s="124"/>
      <c r="AX115" s="124"/>
      <c r="AY115" s="124"/>
      <c r="AZ115" s="124"/>
      <c r="BA115" s="124"/>
      <c r="BB115" s="124"/>
      <c r="BC115" s="124"/>
      <c r="BD115" s="124"/>
      <c r="BE115" s="124"/>
      <c r="BF115" s="124"/>
      <c r="BG115" s="124"/>
      <c r="BH115" s="124"/>
    </row>
    <row r="116" spans="16:60" s="16" customFormat="1" x14ac:dyDescent="0.25"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4"/>
      <c r="BB116" s="124"/>
      <c r="BC116" s="124"/>
      <c r="BD116" s="124"/>
      <c r="BE116" s="124"/>
      <c r="BF116" s="124"/>
      <c r="BG116" s="124"/>
      <c r="BH116" s="124"/>
    </row>
    <row r="117" spans="16:60" s="16" customFormat="1" x14ac:dyDescent="0.25"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4"/>
      <c r="AZ117" s="124"/>
      <c r="BA117" s="124"/>
      <c r="BB117" s="124"/>
      <c r="BC117" s="124"/>
      <c r="BD117" s="124"/>
      <c r="BE117" s="124"/>
      <c r="BF117" s="124"/>
      <c r="BG117" s="124"/>
      <c r="BH117" s="124"/>
    </row>
    <row r="118" spans="16:60" s="16" customFormat="1" x14ac:dyDescent="0.25"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  <c r="AS118" s="124"/>
      <c r="AT118" s="124"/>
      <c r="AU118" s="124"/>
      <c r="AV118" s="124"/>
      <c r="AW118" s="124"/>
      <c r="AX118" s="124"/>
      <c r="AY118" s="124"/>
      <c r="AZ118" s="124"/>
      <c r="BA118" s="124"/>
      <c r="BB118" s="124"/>
      <c r="BC118" s="124"/>
      <c r="BD118" s="124"/>
      <c r="BE118" s="124"/>
      <c r="BF118" s="124"/>
      <c r="BG118" s="124"/>
      <c r="BH118" s="124"/>
    </row>
    <row r="119" spans="16:60" s="16" customFormat="1" x14ac:dyDescent="0.25"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  <c r="AM119" s="124"/>
      <c r="AN119" s="124"/>
      <c r="AO119" s="124"/>
      <c r="AP119" s="124"/>
      <c r="AQ119" s="124"/>
      <c r="AR119" s="124"/>
      <c r="AS119" s="124"/>
      <c r="AT119" s="124"/>
      <c r="AU119" s="124"/>
      <c r="AV119" s="124"/>
      <c r="AW119" s="124"/>
      <c r="AX119" s="124"/>
      <c r="AY119" s="124"/>
      <c r="AZ119" s="124"/>
      <c r="BA119" s="124"/>
      <c r="BB119" s="124"/>
      <c r="BC119" s="124"/>
      <c r="BD119" s="124"/>
      <c r="BE119" s="124"/>
      <c r="BF119" s="124"/>
      <c r="BG119" s="124"/>
      <c r="BH119" s="124"/>
    </row>
    <row r="120" spans="16:60" s="16" customFormat="1" x14ac:dyDescent="0.25"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4"/>
      <c r="AJ120" s="124"/>
      <c r="AK120" s="124"/>
      <c r="AL120" s="124"/>
      <c r="AM120" s="124"/>
      <c r="AN120" s="124"/>
      <c r="AO120" s="124"/>
      <c r="AP120" s="124"/>
      <c r="AQ120" s="124"/>
      <c r="AR120" s="124"/>
      <c r="AS120" s="124"/>
      <c r="AT120" s="124"/>
      <c r="AU120" s="124"/>
      <c r="AV120" s="124"/>
      <c r="AW120" s="124"/>
      <c r="AX120" s="124"/>
      <c r="AY120" s="124"/>
      <c r="AZ120" s="124"/>
      <c r="BA120" s="124"/>
      <c r="BB120" s="124"/>
      <c r="BC120" s="124"/>
      <c r="BD120" s="124"/>
      <c r="BE120" s="124"/>
      <c r="BF120" s="124"/>
      <c r="BG120" s="124"/>
      <c r="BH120" s="124"/>
    </row>
    <row r="121" spans="16:60" s="16" customFormat="1" x14ac:dyDescent="0.25"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4"/>
      <c r="AZ121" s="124"/>
      <c r="BA121" s="124"/>
      <c r="BB121" s="124"/>
      <c r="BC121" s="124"/>
      <c r="BD121" s="124"/>
      <c r="BE121" s="124"/>
      <c r="BF121" s="124"/>
      <c r="BG121" s="124"/>
      <c r="BH121" s="124"/>
    </row>
    <row r="122" spans="16:60" s="16" customFormat="1" x14ac:dyDescent="0.25"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  <c r="AM122" s="124"/>
      <c r="AN122" s="124"/>
      <c r="AO122" s="124"/>
      <c r="AP122" s="124"/>
      <c r="AQ122" s="124"/>
      <c r="AR122" s="124"/>
      <c r="AS122" s="124"/>
      <c r="AT122" s="124"/>
      <c r="AU122" s="124"/>
      <c r="AV122" s="124"/>
      <c r="AW122" s="124"/>
      <c r="AX122" s="124"/>
      <c r="AY122" s="124"/>
      <c r="AZ122" s="124"/>
      <c r="BA122" s="124"/>
      <c r="BB122" s="124"/>
      <c r="BC122" s="124"/>
      <c r="BD122" s="124"/>
      <c r="BE122" s="124"/>
      <c r="BF122" s="124"/>
      <c r="BG122" s="124"/>
      <c r="BH122" s="124"/>
    </row>
    <row r="123" spans="16:60" s="16" customFormat="1" x14ac:dyDescent="0.25"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4"/>
      <c r="AJ123" s="124"/>
      <c r="AK123" s="124"/>
      <c r="AL123" s="124"/>
      <c r="AM123" s="124"/>
      <c r="AN123" s="124"/>
      <c r="AO123" s="124"/>
      <c r="AP123" s="124"/>
      <c r="AQ123" s="124"/>
      <c r="AR123" s="124"/>
      <c r="AS123" s="124"/>
      <c r="AT123" s="124"/>
      <c r="AU123" s="124"/>
      <c r="AV123" s="124"/>
      <c r="AW123" s="124"/>
      <c r="AX123" s="124"/>
      <c r="AY123" s="124"/>
      <c r="AZ123" s="124"/>
      <c r="BA123" s="124"/>
      <c r="BB123" s="124"/>
      <c r="BC123" s="124"/>
      <c r="BD123" s="124"/>
      <c r="BE123" s="124"/>
      <c r="BF123" s="124"/>
      <c r="BG123" s="124"/>
      <c r="BH123" s="124"/>
    </row>
    <row r="124" spans="16:60" s="16" customFormat="1" x14ac:dyDescent="0.25"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  <c r="AG124" s="124"/>
      <c r="AH124" s="124"/>
      <c r="AI124" s="124"/>
      <c r="AJ124" s="124"/>
      <c r="AK124" s="124"/>
      <c r="AL124" s="124"/>
      <c r="AM124" s="124"/>
      <c r="AN124" s="124"/>
      <c r="AO124" s="124"/>
      <c r="AP124" s="124"/>
      <c r="AQ124" s="124"/>
      <c r="AR124" s="124"/>
      <c r="AS124" s="124"/>
      <c r="AT124" s="124"/>
      <c r="AU124" s="124"/>
      <c r="AV124" s="124"/>
      <c r="AW124" s="124"/>
      <c r="AX124" s="124"/>
      <c r="AY124" s="124"/>
      <c r="AZ124" s="124"/>
      <c r="BA124" s="124"/>
      <c r="BB124" s="124"/>
      <c r="BC124" s="124"/>
      <c r="BD124" s="124"/>
      <c r="BE124" s="124"/>
      <c r="BF124" s="124"/>
      <c r="BG124" s="124"/>
      <c r="BH124" s="124"/>
    </row>
    <row r="125" spans="16:60" s="16" customFormat="1" x14ac:dyDescent="0.25"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  <c r="AM125" s="124"/>
      <c r="AN125" s="124"/>
      <c r="AO125" s="124"/>
      <c r="AP125" s="124"/>
      <c r="AQ125" s="124"/>
      <c r="AR125" s="124"/>
      <c r="AS125" s="124"/>
      <c r="AT125" s="124"/>
      <c r="AU125" s="124"/>
      <c r="AV125" s="124"/>
      <c r="AW125" s="124"/>
      <c r="AX125" s="124"/>
      <c r="AY125" s="124"/>
      <c r="AZ125" s="124"/>
      <c r="BA125" s="124"/>
      <c r="BB125" s="124"/>
      <c r="BC125" s="124"/>
      <c r="BD125" s="124"/>
      <c r="BE125" s="124"/>
      <c r="BF125" s="124"/>
      <c r="BG125" s="124"/>
      <c r="BH125" s="124"/>
    </row>
    <row r="126" spans="16:60" s="16" customFormat="1" x14ac:dyDescent="0.25"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  <c r="AE126" s="124"/>
      <c r="AF126" s="124"/>
      <c r="AG126" s="124"/>
      <c r="AH126" s="124"/>
      <c r="AI126" s="124"/>
      <c r="AJ126" s="124"/>
      <c r="AK126" s="124"/>
      <c r="AL126" s="124"/>
      <c r="AM126" s="124"/>
      <c r="AN126" s="124"/>
      <c r="AO126" s="124"/>
      <c r="AP126" s="124"/>
      <c r="AQ126" s="124"/>
      <c r="AR126" s="124"/>
      <c r="AS126" s="124"/>
      <c r="AT126" s="124"/>
      <c r="AU126" s="124"/>
      <c r="AV126" s="124"/>
      <c r="AW126" s="124"/>
      <c r="AX126" s="124"/>
      <c r="AY126" s="124"/>
      <c r="AZ126" s="124"/>
      <c r="BA126" s="124"/>
      <c r="BB126" s="124"/>
      <c r="BC126" s="124"/>
      <c r="BD126" s="124"/>
      <c r="BE126" s="124"/>
      <c r="BF126" s="124"/>
      <c r="BG126" s="124"/>
      <c r="BH126" s="124"/>
    </row>
    <row r="127" spans="16:60" s="16" customFormat="1" x14ac:dyDescent="0.25"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4"/>
      <c r="AZ127" s="124"/>
      <c r="BA127" s="124"/>
      <c r="BB127" s="124"/>
      <c r="BC127" s="124"/>
      <c r="BD127" s="124"/>
      <c r="BE127" s="124"/>
      <c r="BF127" s="124"/>
      <c r="BG127" s="124"/>
      <c r="BH127" s="124"/>
    </row>
    <row r="128" spans="16:60" s="16" customFormat="1" x14ac:dyDescent="0.25"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  <c r="AM128" s="124"/>
      <c r="AN128" s="124"/>
      <c r="AO128" s="124"/>
      <c r="AP128" s="124"/>
      <c r="AQ128" s="124"/>
      <c r="AR128" s="124"/>
      <c r="AS128" s="124"/>
      <c r="AT128" s="124"/>
      <c r="AU128" s="124"/>
      <c r="AV128" s="124"/>
      <c r="AW128" s="124"/>
      <c r="AX128" s="124"/>
      <c r="AY128" s="124"/>
      <c r="AZ128" s="124"/>
      <c r="BA128" s="124"/>
      <c r="BB128" s="124"/>
      <c r="BC128" s="124"/>
      <c r="BD128" s="124"/>
      <c r="BE128" s="124"/>
      <c r="BF128" s="124"/>
      <c r="BG128" s="124"/>
      <c r="BH128" s="124"/>
    </row>
    <row r="129" spans="16:60" s="16" customFormat="1" x14ac:dyDescent="0.25"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124"/>
      <c r="AS129" s="124"/>
      <c r="AT129" s="124"/>
      <c r="AU129" s="124"/>
      <c r="AV129" s="124"/>
      <c r="AW129" s="124"/>
      <c r="AX129" s="124"/>
      <c r="AY129" s="124"/>
      <c r="AZ129" s="124"/>
      <c r="BA129" s="124"/>
      <c r="BB129" s="124"/>
      <c r="BC129" s="124"/>
      <c r="BD129" s="124"/>
      <c r="BE129" s="124"/>
      <c r="BF129" s="124"/>
      <c r="BG129" s="124"/>
      <c r="BH129" s="124"/>
    </row>
    <row r="130" spans="16:60" s="16" customFormat="1" x14ac:dyDescent="0.25"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  <c r="AM130" s="124"/>
      <c r="AN130" s="124"/>
      <c r="AO130" s="124"/>
      <c r="AP130" s="124"/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</row>
    <row r="131" spans="16:60" s="16" customFormat="1" x14ac:dyDescent="0.25"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/>
      <c r="AG131" s="124"/>
      <c r="AH131" s="124"/>
      <c r="AI131" s="124"/>
      <c r="AJ131" s="124"/>
      <c r="AK131" s="124"/>
      <c r="AL131" s="124"/>
      <c r="AM131" s="124"/>
      <c r="AN131" s="124"/>
      <c r="AO131" s="124"/>
      <c r="AP131" s="124"/>
      <c r="AQ131" s="124"/>
      <c r="AR131" s="124"/>
      <c r="AS131" s="124"/>
      <c r="AT131" s="124"/>
      <c r="AU131" s="124"/>
      <c r="AV131" s="124"/>
      <c r="AW131" s="124"/>
      <c r="AX131" s="124"/>
      <c r="AY131" s="124"/>
      <c r="AZ131" s="124"/>
      <c r="BA131" s="124"/>
      <c r="BB131" s="124"/>
      <c r="BC131" s="124"/>
      <c r="BD131" s="124"/>
      <c r="BE131" s="124"/>
      <c r="BF131" s="124"/>
      <c r="BG131" s="124"/>
      <c r="BH131" s="124"/>
    </row>
    <row r="132" spans="16:60" s="16" customFormat="1" x14ac:dyDescent="0.25"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I132" s="124"/>
      <c r="AJ132" s="124"/>
      <c r="AK132" s="124"/>
      <c r="AL132" s="124"/>
      <c r="AM132" s="124"/>
      <c r="AN132" s="124"/>
      <c r="AO132" s="124"/>
      <c r="AP132" s="124"/>
      <c r="AQ132" s="124"/>
      <c r="AR132" s="124"/>
      <c r="AS132" s="124"/>
      <c r="AT132" s="124"/>
      <c r="AU132" s="124"/>
      <c r="AV132" s="124"/>
      <c r="AW132" s="124"/>
      <c r="AX132" s="124"/>
      <c r="AY132" s="124"/>
      <c r="AZ132" s="124"/>
      <c r="BA132" s="124"/>
      <c r="BB132" s="124"/>
      <c r="BC132" s="124"/>
      <c r="BD132" s="124"/>
      <c r="BE132" s="124"/>
      <c r="BF132" s="124"/>
      <c r="BG132" s="124"/>
      <c r="BH132" s="124"/>
    </row>
    <row r="133" spans="16:60" s="16" customFormat="1" x14ac:dyDescent="0.25"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24"/>
      <c r="AK133" s="124"/>
      <c r="AL133" s="124"/>
      <c r="AM133" s="124"/>
      <c r="AN133" s="124"/>
      <c r="AO133" s="124"/>
      <c r="AP133" s="124"/>
      <c r="AQ133" s="124"/>
      <c r="AR133" s="124"/>
      <c r="AS133" s="124"/>
      <c r="AT133" s="124"/>
      <c r="AU133" s="124"/>
      <c r="AV133" s="124"/>
      <c r="AW133" s="124"/>
      <c r="AX133" s="124"/>
      <c r="AY133" s="124"/>
      <c r="AZ133" s="124"/>
      <c r="BA133" s="124"/>
      <c r="BB133" s="124"/>
      <c r="BC133" s="124"/>
      <c r="BD133" s="124"/>
      <c r="BE133" s="124"/>
      <c r="BF133" s="124"/>
      <c r="BG133" s="124"/>
      <c r="BH133" s="124"/>
    </row>
    <row r="134" spans="16:60" s="16" customFormat="1" x14ac:dyDescent="0.25"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  <c r="AG134" s="124"/>
      <c r="AH134" s="124"/>
      <c r="AI134" s="124"/>
      <c r="AJ134" s="124"/>
      <c r="AK134" s="124"/>
      <c r="AL134" s="124"/>
      <c r="AM134" s="124"/>
      <c r="AN134" s="124"/>
      <c r="AO134" s="124"/>
      <c r="AP134" s="124"/>
      <c r="AQ134" s="124"/>
      <c r="AR134" s="124"/>
      <c r="AS134" s="124"/>
      <c r="AT134" s="124"/>
      <c r="AU134" s="124"/>
      <c r="AV134" s="124"/>
      <c r="AW134" s="124"/>
      <c r="AX134" s="124"/>
      <c r="AY134" s="124"/>
      <c r="AZ134" s="124"/>
      <c r="BA134" s="124"/>
      <c r="BB134" s="124"/>
      <c r="BC134" s="124"/>
      <c r="BD134" s="124"/>
      <c r="BE134" s="124"/>
      <c r="BF134" s="124"/>
      <c r="BG134" s="124"/>
      <c r="BH134" s="124"/>
    </row>
    <row r="135" spans="16:60" s="16" customFormat="1" x14ac:dyDescent="0.25"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124"/>
      <c r="AQ135" s="124"/>
      <c r="AR135" s="124"/>
      <c r="AS135" s="124"/>
      <c r="AT135" s="124"/>
      <c r="AU135" s="124"/>
      <c r="AV135" s="124"/>
      <c r="AW135" s="124"/>
      <c r="AX135" s="124"/>
      <c r="AY135" s="124"/>
      <c r="AZ135" s="124"/>
      <c r="BA135" s="124"/>
      <c r="BB135" s="124"/>
      <c r="BC135" s="124"/>
      <c r="BD135" s="124"/>
      <c r="BE135" s="124"/>
      <c r="BF135" s="124"/>
      <c r="BG135" s="124"/>
      <c r="BH135" s="124"/>
    </row>
    <row r="136" spans="16:60" s="16" customFormat="1" x14ac:dyDescent="0.25"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  <c r="AN136" s="124"/>
      <c r="AO136" s="124"/>
      <c r="AP136" s="124"/>
      <c r="AQ136" s="124"/>
      <c r="AR136" s="124"/>
      <c r="AS136" s="124"/>
      <c r="AT136" s="124"/>
      <c r="AU136" s="124"/>
      <c r="AV136" s="124"/>
      <c r="AW136" s="124"/>
      <c r="AX136" s="124"/>
      <c r="AY136" s="124"/>
      <c r="AZ136" s="124"/>
      <c r="BA136" s="124"/>
      <c r="BB136" s="124"/>
      <c r="BC136" s="124"/>
      <c r="BD136" s="124"/>
      <c r="BE136" s="124"/>
      <c r="BF136" s="124"/>
      <c r="BG136" s="124"/>
      <c r="BH136" s="124"/>
    </row>
    <row r="137" spans="16:60" s="16" customFormat="1" x14ac:dyDescent="0.25"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I137" s="124"/>
      <c r="AJ137" s="124"/>
      <c r="AK137" s="124"/>
      <c r="AL137" s="124"/>
      <c r="AM137" s="124"/>
      <c r="AN137" s="124"/>
      <c r="AO137" s="124"/>
      <c r="AP137" s="124"/>
      <c r="AQ137" s="124"/>
      <c r="AR137" s="124"/>
      <c r="AS137" s="124"/>
      <c r="AT137" s="124"/>
      <c r="AU137" s="124"/>
      <c r="AV137" s="124"/>
      <c r="AW137" s="124"/>
      <c r="AX137" s="124"/>
      <c r="AY137" s="124"/>
      <c r="AZ137" s="124"/>
      <c r="BA137" s="124"/>
      <c r="BB137" s="124"/>
      <c r="BC137" s="124"/>
      <c r="BD137" s="124"/>
      <c r="BE137" s="124"/>
      <c r="BF137" s="124"/>
      <c r="BG137" s="124"/>
      <c r="BH137" s="124"/>
    </row>
    <row r="138" spans="16:60" s="16" customFormat="1" x14ac:dyDescent="0.25"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124"/>
      <c r="AQ138" s="124"/>
      <c r="AR138" s="124"/>
      <c r="AS138" s="124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4"/>
      <c r="BD138" s="124"/>
      <c r="BE138" s="124"/>
      <c r="BF138" s="124"/>
      <c r="BG138" s="124"/>
      <c r="BH138" s="124"/>
    </row>
    <row r="139" spans="16:60" s="16" customFormat="1" x14ac:dyDescent="0.25"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  <c r="AN139" s="124"/>
      <c r="AO139" s="124"/>
      <c r="AP139" s="124"/>
      <c r="AQ139" s="124"/>
      <c r="AR139" s="124"/>
      <c r="AS139" s="124"/>
      <c r="AT139" s="124"/>
      <c r="AU139" s="124"/>
      <c r="AV139" s="124"/>
      <c r="AW139" s="124"/>
      <c r="AX139" s="124"/>
      <c r="AY139" s="124"/>
      <c r="AZ139" s="124"/>
      <c r="BA139" s="124"/>
      <c r="BB139" s="124"/>
      <c r="BC139" s="124"/>
      <c r="BD139" s="124"/>
      <c r="BE139" s="124"/>
      <c r="BF139" s="124"/>
      <c r="BG139" s="124"/>
      <c r="BH139" s="124"/>
    </row>
    <row r="140" spans="16:60" s="16" customFormat="1" x14ac:dyDescent="0.25"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  <c r="AN140" s="124"/>
      <c r="AO140" s="124"/>
      <c r="AP140" s="124"/>
      <c r="AQ140" s="124"/>
      <c r="AR140" s="124"/>
      <c r="AS140" s="124"/>
      <c r="AT140" s="124"/>
      <c r="AU140" s="124"/>
      <c r="AV140" s="124"/>
      <c r="AW140" s="124"/>
      <c r="AX140" s="124"/>
      <c r="AY140" s="124"/>
      <c r="AZ140" s="124"/>
      <c r="BA140" s="124"/>
      <c r="BB140" s="124"/>
      <c r="BC140" s="124"/>
      <c r="BD140" s="124"/>
      <c r="BE140" s="124"/>
      <c r="BF140" s="124"/>
      <c r="BG140" s="124"/>
      <c r="BH140" s="124"/>
    </row>
    <row r="141" spans="16:60" s="16" customFormat="1" x14ac:dyDescent="0.25"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  <c r="AA141" s="124"/>
      <c r="AB141" s="124"/>
      <c r="AC141" s="124"/>
      <c r="AD141" s="124"/>
      <c r="AE141" s="124"/>
      <c r="AF141" s="124"/>
      <c r="AG141" s="124"/>
      <c r="AH141" s="124"/>
      <c r="AI141" s="124"/>
      <c r="AJ141" s="124"/>
      <c r="AK141" s="124"/>
      <c r="AL141" s="124"/>
      <c r="AM141" s="124"/>
      <c r="AN141" s="124"/>
      <c r="AO141" s="124"/>
      <c r="AP141" s="124"/>
      <c r="AQ141" s="124"/>
      <c r="AR141" s="124"/>
      <c r="AS141" s="124"/>
      <c r="AT141" s="124"/>
      <c r="AU141" s="124"/>
      <c r="AV141" s="124"/>
      <c r="AW141" s="124"/>
      <c r="AX141" s="124"/>
      <c r="AY141" s="124"/>
      <c r="AZ141" s="124"/>
      <c r="BA141" s="124"/>
      <c r="BB141" s="124"/>
      <c r="BC141" s="124"/>
      <c r="BD141" s="124"/>
      <c r="BE141" s="124"/>
      <c r="BF141" s="124"/>
      <c r="BG141" s="124"/>
      <c r="BH141" s="124"/>
    </row>
    <row r="142" spans="16:60" s="16" customFormat="1" x14ac:dyDescent="0.25"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  <c r="AE142" s="124"/>
      <c r="AF142" s="124"/>
      <c r="AG142" s="124"/>
      <c r="AH142" s="124"/>
      <c r="AI142" s="124"/>
      <c r="AJ142" s="124"/>
      <c r="AK142" s="124"/>
      <c r="AL142" s="124"/>
      <c r="AM142" s="124"/>
      <c r="AN142" s="124"/>
      <c r="AO142" s="124"/>
      <c r="AP142" s="124"/>
      <c r="AQ142" s="124"/>
      <c r="AR142" s="124"/>
      <c r="AS142" s="124"/>
      <c r="AT142" s="124"/>
      <c r="AU142" s="124"/>
      <c r="AV142" s="124"/>
      <c r="AW142" s="124"/>
      <c r="AX142" s="124"/>
      <c r="AY142" s="124"/>
      <c r="AZ142" s="124"/>
      <c r="BA142" s="124"/>
      <c r="BB142" s="124"/>
      <c r="BC142" s="124"/>
      <c r="BD142" s="124"/>
      <c r="BE142" s="124"/>
      <c r="BF142" s="124"/>
      <c r="BG142" s="124"/>
      <c r="BH142" s="124"/>
    </row>
    <row r="143" spans="16:60" s="16" customFormat="1" x14ac:dyDescent="0.25"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  <c r="AA143" s="124"/>
      <c r="AB143" s="124"/>
      <c r="AC143" s="124"/>
      <c r="AD143" s="124"/>
      <c r="AE143" s="124"/>
      <c r="AF143" s="124"/>
      <c r="AG143" s="124"/>
      <c r="AH143" s="124"/>
      <c r="AI143" s="124"/>
      <c r="AJ143" s="124"/>
      <c r="AK143" s="124"/>
      <c r="AL143" s="124"/>
      <c r="AM143" s="124"/>
      <c r="AN143" s="124"/>
      <c r="AO143" s="124"/>
      <c r="AP143" s="124"/>
      <c r="AQ143" s="124"/>
      <c r="AR143" s="124"/>
      <c r="AS143" s="124"/>
      <c r="AT143" s="124"/>
      <c r="AU143" s="124"/>
      <c r="AV143" s="124"/>
      <c r="AW143" s="124"/>
      <c r="AX143" s="124"/>
      <c r="AY143" s="124"/>
      <c r="AZ143" s="124"/>
      <c r="BA143" s="124"/>
      <c r="BB143" s="124"/>
      <c r="BC143" s="124"/>
      <c r="BD143" s="124"/>
      <c r="BE143" s="124"/>
      <c r="BF143" s="124"/>
      <c r="BG143" s="124"/>
      <c r="BH143" s="124"/>
    </row>
    <row r="144" spans="16:60" s="16" customFormat="1" x14ac:dyDescent="0.25"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</row>
    <row r="145" spans="16:60" s="16" customFormat="1" x14ac:dyDescent="0.25"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</row>
    <row r="146" spans="16:60" s="16" customFormat="1" x14ac:dyDescent="0.25"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</row>
    <row r="147" spans="16:60" s="16" customFormat="1" x14ac:dyDescent="0.25"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</row>
    <row r="148" spans="16:60" s="16" customFormat="1" x14ac:dyDescent="0.25"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</row>
    <row r="149" spans="16:60" s="16" customFormat="1" x14ac:dyDescent="0.25"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</row>
    <row r="150" spans="16:60" s="16" customFormat="1" x14ac:dyDescent="0.25"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  <c r="AA150" s="124"/>
      <c r="AB150" s="124"/>
      <c r="AC150" s="124"/>
      <c r="AD150" s="124"/>
      <c r="AE150" s="124"/>
      <c r="AF150" s="124"/>
      <c r="AG150" s="124"/>
      <c r="AH150" s="124"/>
      <c r="AI150" s="124"/>
      <c r="AJ150" s="124"/>
      <c r="AK150" s="124"/>
      <c r="AL150" s="124"/>
      <c r="AM150" s="124"/>
      <c r="AN150" s="124"/>
      <c r="AO150" s="124"/>
      <c r="AP150" s="124"/>
      <c r="AQ150" s="124"/>
      <c r="AR150" s="124"/>
      <c r="AS150" s="124"/>
      <c r="AT150" s="124"/>
      <c r="AU150" s="124"/>
      <c r="AV150" s="124"/>
      <c r="AW150" s="124"/>
      <c r="AX150" s="124"/>
      <c r="AY150" s="124"/>
      <c r="AZ150" s="124"/>
      <c r="BA150" s="124"/>
      <c r="BB150" s="124"/>
      <c r="BC150" s="124"/>
      <c r="BD150" s="124"/>
      <c r="BE150" s="124"/>
      <c r="BF150" s="124"/>
      <c r="BG150" s="124"/>
      <c r="BH150" s="124"/>
    </row>
    <row r="151" spans="16:60" s="16" customFormat="1" x14ac:dyDescent="0.25"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24"/>
      <c r="AF151" s="124"/>
      <c r="AG151" s="124"/>
      <c r="AH151" s="124"/>
      <c r="AI151" s="124"/>
      <c r="AJ151" s="124"/>
      <c r="AK151" s="124"/>
      <c r="AL151" s="124"/>
      <c r="AM151" s="124"/>
      <c r="AN151" s="124"/>
      <c r="AO151" s="124"/>
      <c r="AP151" s="124"/>
      <c r="AQ151" s="124"/>
      <c r="AR151" s="124"/>
      <c r="AS151" s="124"/>
      <c r="AT151" s="124"/>
      <c r="AU151" s="124"/>
      <c r="AV151" s="124"/>
      <c r="AW151" s="124"/>
      <c r="AX151" s="124"/>
      <c r="AY151" s="124"/>
      <c r="AZ151" s="124"/>
      <c r="BA151" s="124"/>
      <c r="BB151" s="124"/>
      <c r="BC151" s="124"/>
      <c r="BD151" s="124"/>
      <c r="BE151" s="124"/>
      <c r="BF151" s="124"/>
      <c r="BG151" s="124"/>
      <c r="BH151" s="124"/>
    </row>
    <row r="152" spans="16:60" s="16" customFormat="1" x14ac:dyDescent="0.25"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  <c r="AG152" s="124"/>
      <c r="AH152" s="124"/>
      <c r="AI152" s="124"/>
      <c r="AJ152" s="124"/>
      <c r="AK152" s="124"/>
      <c r="AL152" s="124"/>
      <c r="AM152" s="124"/>
      <c r="AN152" s="124"/>
      <c r="AO152" s="124"/>
      <c r="AP152" s="124"/>
      <c r="AQ152" s="124"/>
      <c r="AR152" s="124"/>
      <c r="AS152" s="124"/>
      <c r="AT152" s="124"/>
      <c r="AU152" s="124"/>
      <c r="AV152" s="124"/>
      <c r="AW152" s="124"/>
      <c r="AX152" s="124"/>
      <c r="AY152" s="124"/>
      <c r="AZ152" s="124"/>
      <c r="BA152" s="124"/>
      <c r="BB152" s="124"/>
      <c r="BC152" s="124"/>
      <c r="BD152" s="124"/>
      <c r="BE152" s="124"/>
      <c r="BF152" s="124"/>
      <c r="BG152" s="124"/>
      <c r="BH152" s="124"/>
    </row>
    <row r="153" spans="16:60" s="16" customFormat="1" x14ac:dyDescent="0.25"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  <c r="AB153" s="124"/>
      <c r="AC153" s="124"/>
      <c r="AD153" s="124"/>
      <c r="AE153" s="124"/>
      <c r="AF153" s="124"/>
      <c r="AG153" s="124"/>
      <c r="AH153" s="124"/>
      <c r="AI153" s="124"/>
      <c r="AJ153" s="124"/>
      <c r="AK153" s="124"/>
      <c r="AL153" s="124"/>
      <c r="AM153" s="124"/>
      <c r="AN153" s="124"/>
      <c r="AO153" s="124"/>
      <c r="AP153" s="124"/>
      <c r="AQ153" s="124"/>
      <c r="AR153" s="124"/>
      <c r="AS153" s="124"/>
      <c r="AT153" s="124"/>
      <c r="AU153" s="124"/>
      <c r="AV153" s="124"/>
      <c r="AW153" s="124"/>
      <c r="AX153" s="124"/>
      <c r="AY153" s="124"/>
      <c r="AZ153" s="124"/>
      <c r="BA153" s="124"/>
      <c r="BB153" s="124"/>
      <c r="BC153" s="124"/>
      <c r="BD153" s="124"/>
      <c r="BE153" s="124"/>
      <c r="BF153" s="124"/>
      <c r="BG153" s="124"/>
      <c r="BH153" s="124"/>
    </row>
    <row r="154" spans="16:60" s="16" customFormat="1" x14ac:dyDescent="0.25"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  <c r="AE154" s="124"/>
      <c r="AF154" s="124"/>
      <c r="AG154" s="124"/>
      <c r="AH154" s="124"/>
      <c r="AI154" s="124"/>
      <c r="AJ154" s="124"/>
      <c r="AK154" s="124"/>
      <c r="AL154" s="124"/>
      <c r="AM154" s="124"/>
      <c r="AN154" s="124"/>
      <c r="AO154" s="124"/>
      <c r="AP154" s="124"/>
      <c r="AQ154" s="124"/>
      <c r="AR154" s="124"/>
      <c r="AS154" s="124"/>
      <c r="AT154" s="124"/>
      <c r="AU154" s="124"/>
      <c r="AV154" s="124"/>
      <c r="AW154" s="124"/>
      <c r="AX154" s="124"/>
      <c r="AY154" s="124"/>
      <c r="AZ154" s="124"/>
      <c r="BA154" s="124"/>
      <c r="BB154" s="124"/>
      <c r="BC154" s="124"/>
      <c r="BD154" s="124"/>
      <c r="BE154" s="124"/>
      <c r="BF154" s="124"/>
      <c r="BG154" s="124"/>
      <c r="BH154" s="124"/>
    </row>
    <row r="155" spans="16:60" s="16" customFormat="1" x14ac:dyDescent="0.25"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  <c r="AA155" s="124"/>
      <c r="AB155" s="124"/>
      <c r="AC155" s="124"/>
      <c r="AD155" s="124"/>
      <c r="AE155" s="124"/>
      <c r="AF155" s="124"/>
      <c r="AG155" s="124"/>
      <c r="AH155" s="124"/>
      <c r="AI155" s="124"/>
      <c r="AJ155" s="124"/>
      <c r="AK155" s="124"/>
      <c r="AL155" s="124"/>
      <c r="AM155" s="124"/>
      <c r="AN155" s="124"/>
      <c r="AO155" s="124"/>
      <c r="AP155" s="124"/>
      <c r="AQ155" s="124"/>
      <c r="AR155" s="124"/>
      <c r="AS155" s="124"/>
      <c r="AT155" s="124"/>
      <c r="AU155" s="124"/>
      <c r="AV155" s="124"/>
      <c r="AW155" s="124"/>
      <c r="AX155" s="124"/>
      <c r="AY155" s="124"/>
      <c r="AZ155" s="124"/>
      <c r="BA155" s="124"/>
      <c r="BB155" s="124"/>
      <c r="BC155" s="124"/>
      <c r="BD155" s="124"/>
      <c r="BE155" s="124"/>
      <c r="BF155" s="124"/>
      <c r="BG155" s="124"/>
      <c r="BH155" s="124"/>
    </row>
    <row r="156" spans="16:60" s="16" customFormat="1" x14ac:dyDescent="0.25"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4"/>
      <c r="AD156" s="124"/>
      <c r="AE156" s="124"/>
      <c r="AF156" s="124"/>
      <c r="AG156" s="124"/>
      <c r="AH156" s="124"/>
      <c r="AI156" s="124"/>
      <c r="AJ156" s="124"/>
      <c r="AK156" s="124"/>
      <c r="AL156" s="124"/>
      <c r="AM156" s="124"/>
      <c r="AN156" s="124"/>
      <c r="AO156" s="124"/>
      <c r="AP156" s="124"/>
      <c r="AQ156" s="124"/>
      <c r="AR156" s="124"/>
      <c r="AS156" s="124"/>
      <c r="AT156" s="124"/>
      <c r="AU156" s="124"/>
      <c r="AV156" s="124"/>
      <c r="AW156" s="124"/>
      <c r="AX156" s="124"/>
      <c r="AY156" s="124"/>
      <c r="AZ156" s="124"/>
      <c r="BA156" s="124"/>
      <c r="BB156" s="124"/>
      <c r="BC156" s="124"/>
      <c r="BD156" s="124"/>
      <c r="BE156" s="124"/>
      <c r="BF156" s="124"/>
      <c r="BG156" s="124"/>
      <c r="BH156" s="124"/>
    </row>
    <row r="157" spans="16:60" s="16" customFormat="1" x14ac:dyDescent="0.25"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  <c r="AA157" s="124"/>
      <c r="AB157" s="124"/>
      <c r="AC157" s="124"/>
      <c r="AD157" s="124"/>
      <c r="AE157" s="124"/>
      <c r="AF157" s="124"/>
      <c r="AG157" s="124"/>
      <c r="AH157" s="124"/>
      <c r="AI157" s="124"/>
      <c r="AJ157" s="124"/>
      <c r="AK157" s="124"/>
      <c r="AL157" s="124"/>
      <c r="AM157" s="124"/>
      <c r="AN157" s="124"/>
      <c r="AO157" s="124"/>
      <c r="AP157" s="124"/>
      <c r="AQ157" s="124"/>
      <c r="AR157" s="124"/>
      <c r="AS157" s="124"/>
      <c r="AT157" s="124"/>
      <c r="AU157" s="124"/>
      <c r="AV157" s="124"/>
      <c r="AW157" s="124"/>
      <c r="AX157" s="124"/>
      <c r="AY157" s="124"/>
      <c r="AZ157" s="124"/>
      <c r="BA157" s="124"/>
      <c r="BB157" s="124"/>
      <c r="BC157" s="124"/>
      <c r="BD157" s="124"/>
      <c r="BE157" s="124"/>
      <c r="BF157" s="124"/>
      <c r="BG157" s="124"/>
      <c r="BH157" s="124"/>
    </row>
    <row r="158" spans="16:60" s="16" customFormat="1" x14ac:dyDescent="0.25"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  <c r="AH158" s="124"/>
      <c r="AI158" s="124"/>
      <c r="AJ158" s="124"/>
      <c r="AK158" s="124"/>
      <c r="AL158" s="124"/>
      <c r="AM158" s="124"/>
      <c r="AN158" s="124"/>
      <c r="AO158" s="124"/>
      <c r="AP158" s="124"/>
      <c r="AQ158" s="124"/>
      <c r="AR158" s="124"/>
      <c r="AS158" s="124"/>
      <c r="AT158" s="124"/>
      <c r="AU158" s="124"/>
      <c r="AV158" s="124"/>
      <c r="AW158" s="124"/>
      <c r="AX158" s="124"/>
      <c r="AY158" s="124"/>
      <c r="AZ158" s="124"/>
      <c r="BA158" s="124"/>
      <c r="BB158" s="124"/>
      <c r="BC158" s="124"/>
      <c r="BD158" s="124"/>
      <c r="BE158" s="124"/>
      <c r="BF158" s="124"/>
      <c r="BG158" s="124"/>
      <c r="BH158" s="124"/>
    </row>
    <row r="159" spans="16:60" s="16" customFormat="1" x14ac:dyDescent="0.25"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  <c r="AA159" s="124"/>
      <c r="AB159" s="124"/>
      <c r="AC159" s="124"/>
      <c r="AD159" s="124"/>
      <c r="AE159" s="124"/>
      <c r="AF159" s="124"/>
      <c r="AG159" s="124"/>
      <c r="AH159" s="124"/>
      <c r="AI159" s="124"/>
      <c r="AJ159" s="124"/>
      <c r="AK159" s="124"/>
      <c r="AL159" s="124"/>
      <c r="AM159" s="124"/>
      <c r="AN159" s="124"/>
      <c r="AO159" s="124"/>
      <c r="AP159" s="124"/>
      <c r="AQ159" s="124"/>
      <c r="AR159" s="124"/>
      <c r="AS159" s="124"/>
      <c r="AT159" s="124"/>
      <c r="AU159" s="124"/>
      <c r="AV159" s="124"/>
      <c r="AW159" s="124"/>
      <c r="AX159" s="124"/>
      <c r="AY159" s="124"/>
      <c r="AZ159" s="124"/>
      <c r="BA159" s="124"/>
      <c r="BB159" s="124"/>
      <c r="BC159" s="124"/>
      <c r="BD159" s="124"/>
      <c r="BE159" s="124"/>
      <c r="BF159" s="124"/>
      <c r="BG159" s="124"/>
      <c r="BH159" s="124"/>
    </row>
    <row r="160" spans="16:60" s="16" customFormat="1" x14ac:dyDescent="0.25"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  <c r="AA160" s="124"/>
      <c r="AB160" s="124"/>
      <c r="AC160" s="124"/>
      <c r="AD160" s="124"/>
      <c r="AE160" s="124"/>
      <c r="AF160" s="124"/>
      <c r="AG160" s="124"/>
      <c r="AH160" s="124"/>
      <c r="AI160" s="124"/>
      <c r="AJ160" s="124"/>
      <c r="AK160" s="124"/>
      <c r="AL160" s="124"/>
      <c r="AM160" s="124"/>
      <c r="AN160" s="124"/>
      <c r="AO160" s="124"/>
      <c r="AP160" s="124"/>
      <c r="AQ160" s="124"/>
      <c r="AR160" s="124"/>
      <c r="AS160" s="124"/>
      <c r="AT160" s="124"/>
      <c r="AU160" s="124"/>
      <c r="AV160" s="124"/>
      <c r="AW160" s="124"/>
      <c r="AX160" s="124"/>
      <c r="AY160" s="124"/>
      <c r="AZ160" s="124"/>
      <c r="BA160" s="124"/>
      <c r="BB160" s="124"/>
      <c r="BC160" s="124"/>
      <c r="BD160" s="124"/>
      <c r="BE160" s="124"/>
      <c r="BF160" s="124"/>
      <c r="BG160" s="124"/>
      <c r="BH160" s="124"/>
    </row>
    <row r="161" spans="16:60" s="16" customFormat="1" x14ac:dyDescent="0.25"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  <c r="AA161" s="124"/>
      <c r="AB161" s="124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4"/>
      <c r="AM161" s="124"/>
      <c r="AN161" s="124"/>
      <c r="AO161" s="124"/>
      <c r="AP161" s="124"/>
      <c r="AQ161" s="124"/>
      <c r="AR161" s="124"/>
      <c r="AS161" s="124"/>
      <c r="AT161" s="124"/>
      <c r="AU161" s="124"/>
      <c r="AV161" s="124"/>
      <c r="AW161" s="124"/>
      <c r="AX161" s="124"/>
      <c r="AY161" s="124"/>
      <c r="AZ161" s="124"/>
      <c r="BA161" s="124"/>
      <c r="BB161" s="124"/>
      <c r="BC161" s="124"/>
      <c r="BD161" s="124"/>
      <c r="BE161" s="124"/>
      <c r="BF161" s="124"/>
      <c r="BG161" s="124"/>
      <c r="BH161" s="124"/>
    </row>
    <row r="162" spans="16:60" s="16" customFormat="1" x14ac:dyDescent="0.25"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  <c r="AA162" s="124"/>
      <c r="AB162" s="124"/>
      <c r="AC162" s="124"/>
      <c r="AD162" s="124"/>
      <c r="AE162" s="124"/>
      <c r="AF162" s="124"/>
      <c r="AG162" s="124"/>
      <c r="AH162" s="124"/>
      <c r="AI162" s="124"/>
      <c r="AJ162" s="124"/>
      <c r="AK162" s="124"/>
      <c r="AL162" s="124"/>
      <c r="AM162" s="124"/>
      <c r="AN162" s="124"/>
      <c r="AO162" s="124"/>
      <c r="AP162" s="124"/>
      <c r="AQ162" s="124"/>
      <c r="AR162" s="124"/>
      <c r="AS162" s="124"/>
      <c r="AT162" s="124"/>
      <c r="AU162" s="124"/>
      <c r="AV162" s="124"/>
      <c r="AW162" s="124"/>
      <c r="AX162" s="124"/>
      <c r="AY162" s="124"/>
      <c r="AZ162" s="124"/>
      <c r="BA162" s="124"/>
      <c r="BB162" s="124"/>
      <c r="BC162" s="124"/>
      <c r="BD162" s="124"/>
      <c r="BE162" s="124"/>
      <c r="BF162" s="124"/>
      <c r="BG162" s="124"/>
      <c r="BH162" s="124"/>
    </row>
    <row r="163" spans="16:60" s="16" customFormat="1" x14ac:dyDescent="0.25"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  <c r="AA163" s="124"/>
      <c r="AB163" s="124"/>
      <c r="AC163" s="124"/>
      <c r="AD163" s="124"/>
      <c r="AE163" s="124"/>
      <c r="AF163" s="124"/>
      <c r="AG163" s="124"/>
      <c r="AH163" s="124"/>
      <c r="AI163" s="124"/>
      <c r="AJ163" s="124"/>
      <c r="AK163" s="124"/>
      <c r="AL163" s="124"/>
      <c r="AM163" s="124"/>
      <c r="AN163" s="124"/>
      <c r="AO163" s="124"/>
      <c r="AP163" s="124"/>
      <c r="AQ163" s="124"/>
      <c r="AR163" s="124"/>
      <c r="AS163" s="124"/>
      <c r="AT163" s="124"/>
      <c r="AU163" s="124"/>
      <c r="AV163" s="124"/>
      <c r="AW163" s="124"/>
      <c r="AX163" s="124"/>
      <c r="AY163" s="124"/>
      <c r="AZ163" s="124"/>
      <c r="BA163" s="124"/>
      <c r="BB163" s="124"/>
      <c r="BC163" s="124"/>
      <c r="BD163" s="124"/>
      <c r="BE163" s="124"/>
      <c r="BF163" s="124"/>
      <c r="BG163" s="124"/>
      <c r="BH163" s="124"/>
    </row>
    <row r="164" spans="16:60" s="16" customFormat="1" x14ac:dyDescent="0.25"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  <c r="AA164" s="124"/>
      <c r="AB164" s="124"/>
      <c r="AC164" s="124"/>
      <c r="AD164" s="124"/>
      <c r="AE164" s="124"/>
      <c r="AF164" s="124"/>
      <c r="AG164" s="124"/>
      <c r="AH164" s="124"/>
      <c r="AI164" s="124"/>
      <c r="AJ164" s="124"/>
      <c r="AK164" s="124"/>
      <c r="AL164" s="124"/>
      <c r="AM164" s="124"/>
      <c r="AN164" s="124"/>
      <c r="AO164" s="124"/>
      <c r="AP164" s="124"/>
      <c r="AQ164" s="124"/>
      <c r="AR164" s="124"/>
      <c r="AS164" s="124"/>
      <c r="AT164" s="124"/>
      <c r="AU164" s="124"/>
      <c r="AV164" s="124"/>
      <c r="AW164" s="124"/>
      <c r="AX164" s="124"/>
      <c r="AY164" s="124"/>
      <c r="AZ164" s="124"/>
      <c r="BA164" s="124"/>
      <c r="BB164" s="124"/>
      <c r="BC164" s="124"/>
      <c r="BD164" s="124"/>
      <c r="BE164" s="124"/>
      <c r="BF164" s="124"/>
      <c r="BG164" s="124"/>
      <c r="BH164" s="124"/>
    </row>
    <row r="165" spans="16:60" s="16" customFormat="1" x14ac:dyDescent="0.25"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  <c r="AE165" s="124"/>
      <c r="AF165" s="124"/>
      <c r="AG165" s="124"/>
      <c r="AH165" s="124"/>
      <c r="AI165" s="124"/>
      <c r="AJ165" s="124"/>
      <c r="AK165" s="124"/>
      <c r="AL165" s="124"/>
      <c r="AM165" s="124"/>
      <c r="AN165" s="124"/>
      <c r="AO165" s="124"/>
      <c r="AP165" s="124"/>
      <c r="AQ165" s="124"/>
      <c r="AR165" s="124"/>
      <c r="AS165" s="124"/>
      <c r="AT165" s="124"/>
      <c r="AU165" s="124"/>
      <c r="AV165" s="124"/>
      <c r="AW165" s="124"/>
      <c r="AX165" s="124"/>
      <c r="AY165" s="124"/>
      <c r="AZ165" s="124"/>
      <c r="BA165" s="124"/>
      <c r="BB165" s="124"/>
      <c r="BC165" s="124"/>
      <c r="BD165" s="124"/>
      <c r="BE165" s="124"/>
      <c r="BF165" s="124"/>
      <c r="BG165" s="124"/>
      <c r="BH165" s="124"/>
    </row>
    <row r="166" spans="16:60" s="16" customFormat="1" x14ac:dyDescent="0.25"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  <c r="AA166" s="124"/>
      <c r="AB166" s="124"/>
      <c r="AC166" s="124"/>
      <c r="AD166" s="124"/>
      <c r="AE166" s="124"/>
      <c r="AF166" s="124"/>
      <c r="AG166" s="124"/>
      <c r="AH166" s="124"/>
      <c r="AI166" s="124"/>
      <c r="AJ166" s="124"/>
      <c r="AK166" s="124"/>
      <c r="AL166" s="124"/>
      <c r="AM166" s="124"/>
      <c r="AN166" s="124"/>
      <c r="AO166" s="124"/>
      <c r="AP166" s="124"/>
      <c r="AQ166" s="124"/>
      <c r="AR166" s="124"/>
      <c r="AS166" s="124"/>
      <c r="AT166" s="124"/>
      <c r="AU166" s="124"/>
      <c r="AV166" s="124"/>
      <c r="AW166" s="124"/>
      <c r="AX166" s="124"/>
      <c r="AY166" s="124"/>
      <c r="AZ166" s="124"/>
      <c r="BA166" s="124"/>
      <c r="BB166" s="124"/>
      <c r="BC166" s="124"/>
      <c r="BD166" s="124"/>
      <c r="BE166" s="124"/>
      <c r="BF166" s="124"/>
      <c r="BG166" s="124"/>
      <c r="BH166" s="124"/>
    </row>
    <row r="167" spans="16:60" s="16" customFormat="1" x14ac:dyDescent="0.25"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  <c r="AA167" s="124"/>
      <c r="AB167" s="124"/>
      <c r="AC167" s="124"/>
      <c r="AD167" s="124"/>
      <c r="AE167" s="124"/>
      <c r="AF167" s="124"/>
      <c r="AG167" s="124"/>
      <c r="AH167" s="124"/>
      <c r="AI167" s="124"/>
      <c r="AJ167" s="124"/>
      <c r="AK167" s="124"/>
      <c r="AL167" s="124"/>
      <c r="AM167" s="124"/>
      <c r="AN167" s="124"/>
      <c r="AO167" s="124"/>
      <c r="AP167" s="124"/>
      <c r="AQ167" s="124"/>
      <c r="AR167" s="124"/>
      <c r="AS167" s="124"/>
      <c r="AT167" s="124"/>
      <c r="AU167" s="124"/>
      <c r="AV167" s="124"/>
      <c r="AW167" s="124"/>
      <c r="AX167" s="124"/>
      <c r="AY167" s="124"/>
      <c r="AZ167" s="124"/>
      <c r="BA167" s="124"/>
      <c r="BB167" s="124"/>
      <c r="BC167" s="124"/>
      <c r="BD167" s="124"/>
      <c r="BE167" s="124"/>
      <c r="BF167" s="124"/>
      <c r="BG167" s="124"/>
      <c r="BH167" s="124"/>
    </row>
    <row r="168" spans="16:60" s="16" customFormat="1" x14ac:dyDescent="0.25"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  <c r="AB168" s="124"/>
      <c r="AC168" s="124"/>
      <c r="AD168" s="124"/>
      <c r="AE168" s="124"/>
      <c r="AF168" s="124"/>
      <c r="AG168" s="124"/>
      <c r="AH168" s="124"/>
      <c r="AI168" s="124"/>
      <c r="AJ168" s="124"/>
      <c r="AK168" s="124"/>
      <c r="AL168" s="124"/>
      <c r="AM168" s="124"/>
      <c r="AN168" s="124"/>
      <c r="AO168" s="124"/>
      <c r="AP168" s="124"/>
      <c r="AQ168" s="124"/>
      <c r="AR168" s="124"/>
      <c r="AS168" s="124"/>
      <c r="AT168" s="124"/>
      <c r="AU168" s="124"/>
      <c r="AV168" s="124"/>
      <c r="AW168" s="124"/>
      <c r="AX168" s="124"/>
      <c r="AY168" s="124"/>
      <c r="AZ168" s="124"/>
      <c r="BA168" s="124"/>
      <c r="BB168" s="124"/>
      <c r="BC168" s="124"/>
      <c r="BD168" s="124"/>
      <c r="BE168" s="124"/>
      <c r="BF168" s="124"/>
      <c r="BG168" s="124"/>
      <c r="BH168" s="124"/>
    </row>
    <row r="169" spans="16:60" s="16" customFormat="1" x14ac:dyDescent="0.25"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  <c r="AA169" s="124"/>
      <c r="AB169" s="124"/>
      <c r="AC169" s="124"/>
      <c r="AD169" s="124"/>
      <c r="AE169" s="124"/>
      <c r="AF169" s="124"/>
      <c r="AG169" s="124"/>
      <c r="AH169" s="124"/>
      <c r="AI169" s="124"/>
      <c r="AJ169" s="124"/>
      <c r="AK169" s="124"/>
      <c r="AL169" s="124"/>
      <c r="AM169" s="124"/>
      <c r="AN169" s="124"/>
      <c r="AO169" s="124"/>
      <c r="AP169" s="124"/>
      <c r="AQ169" s="124"/>
      <c r="AR169" s="124"/>
      <c r="AS169" s="124"/>
      <c r="AT169" s="124"/>
      <c r="AU169" s="124"/>
      <c r="AV169" s="124"/>
      <c r="AW169" s="124"/>
      <c r="AX169" s="124"/>
      <c r="AY169" s="124"/>
      <c r="AZ169" s="124"/>
      <c r="BA169" s="124"/>
      <c r="BB169" s="124"/>
      <c r="BC169" s="124"/>
      <c r="BD169" s="124"/>
      <c r="BE169" s="124"/>
      <c r="BF169" s="124"/>
      <c r="BG169" s="124"/>
      <c r="BH169" s="124"/>
    </row>
    <row r="170" spans="16:60" s="16" customFormat="1" x14ac:dyDescent="0.25"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  <c r="AA170" s="124"/>
      <c r="AB170" s="124"/>
      <c r="AC170" s="124"/>
      <c r="AD170" s="124"/>
      <c r="AE170" s="124"/>
      <c r="AF170" s="124"/>
      <c r="AG170" s="124"/>
      <c r="AH170" s="124"/>
      <c r="AI170" s="124"/>
      <c r="AJ170" s="124"/>
      <c r="AK170" s="124"/>
      <c r="AL170" s="124"/>
      <c r="AM170" s="124"/>
      <c r="AN170" s="124"/>
      <c r="AO170" s="124"/>
      <c r="AP170" s="124"/>
      <c r="AQ170" s="124"/>
      <c r="AR170" s="124"/>
      <c r="AS170" s="124"/>
      <c r="AT170" s="124"/>
      <c r="AU170" s="124"/>
      <c r="AV170" s="124"/>
      <c r="AW170" s="124"/>
      <c r="AX170" s="124"/>
      <c r="AY170" s="124"/>
      <c r="AZ170" s="124"/>
      <c r="BA170" s="124"/>
      <c r="BB170" s="124"/>
      <c r="BC170" s="124"/>
      <c r="BD170" s="124"/>
      <c r="BE170" s="124"/>
      <c r="BF170" s="124"/>
      <c r="BG170" s="124"/>
      <c r="BH170" s="124"/>
    </row>
    <row r="171" spans="16:60" s="16" customFormat="1" x14ac:dyDescent="0.25"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  <c r="AA171" s="124"/>
      <c r="AB171" s="124"/>
      <c r="AC171" s="124"/>
      <c r="AD171" s="124"/>
      <c r="AE171" s="124"/>
      <c r="AF171" s="124"/>
      <c r="AG171" s="124"/>
      <c r="AH171" s="124"/>
      <c r="AI171" s="124"/>
      <c r="AJ171" s="124"/>
      <c r="AK171" s="124"/>
      <c r="AL171" s="124"/>
      <c r="AM171" s="124"/>
      <c r="AN171" s="124"/>
      <c r="AO171" s="124"/>
      <c r="AP171" s="124"/>
      <c r="AQ171" s="124"/>
      <c r="AR171" s="124"/>
      <c r="AS171" s="124"/>
      <c r="AT171" s="124"/>
      <c r="AU171" s="124"/>
      <c r="AV171" s="124"/>
      <c r="AW171" s="124"/>
      <c r="AX171" s="124"/>
      <c r="AY171" s="124"/>
      <c r="AZ171" s="124"/>
      <c r="BA171" s="124"/>
      <c r="BB171" s="124"/>
      <c r="BC171" s="124"/>
      <c r="BD171" s="124"/>
      <c r="BE171" s="124"/>
      <c r="BF171" s="124"/>
      <c r="BG171" s="124"/>
      <c r="BH171" s="124"/>
    </row>
    <row r="172" spans="16:60" s="16" customFormat="1" x14ac:dyDescent="0.25"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  <c r="AA172" s="124"/>
      <c r="AB172" s="124"/>
      <c r="AC172" s="124"/>
      <c r="AD172" s="124"/>
      <c r="AE172" s="124"/>
      <c r="AF172" s="124"/>
      <c r="AG172" s="124"/>
      <c r="AH172" s="124"/>
      <c r="AI172" s="124"/>
      <c r="AJ172" s="124"/>
      <c r="AK172" s="124"/>
      <c r="AL172" s="124"/>
      <c r="AM172" s="124"/>
      <c r="AN172" s="124"/>
      <c r="AO172" s="124"/>
      <c r="AP172" s="124"/>
      <c r="AQ172" s="124"/>
      <c r="AR172" s="124"/>
      <c r="AS172" s="124"/>
      <c r="AT172" s="124"/>
      <c r="AU172" s="124"/>
      <c r="AV172" s="124"/>
      <c r="AW172" s="124"/>
      <c r="AX172" s="124"/>
      <c r="AY172" s="124"/>
      <c r="AZ172" s="124"/>
      <c r="BA172" s="124"/>
      <c r="BB172" s="124"/>
      <c r="BC172" s="124"/>
      <c r="BD172" s="124"/>
      <c r="BE172" s="124"/>
      <c r="BF172" s="124"/>
      <c r="BG172" s="124"/>
      <c r="BH172" s="124"/>
    </row>
    <row r="173" spans="16:60" s="16" customFormat="1" x14ac:dyDescent="0.25"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  <c r="AA173" s="124"/>
      <c r="AB173" s="124"/>
      <c r="AC173" s="124"/>
      <c r="AD173" s="124"/>
      <c r="AE173" s="124"/>
      <c r="AF173" s="124"/>
      <c r="AG173" s="124"/>
      <c r="AH173" s="124"/>
      <c r="AI173" s="124"/>
      <c r="AJ173" s="124"/>
      <c r="AK173" s="124"/>
      <c r="AL173" s="124"/>
      <c r="AM173" s="124"/>
      <c r="AN173" s="124"/>
      <c r="AO173" s="124"/>
      <c r="AP173" s="124"/>
      <c r="AQ173" s="124"/>
      <c r="AR173" s="124"/>
      <c r="AS173" s="124"/>
      <c r="AT173" s="124"/>
      <c r="AU173" s="124"/>
      <c r="AV173" s="124"/>
      <c r="AW173" s="124"/>
      <c r="AX173" s="124"/>
      <c r="AY173" s="124"/>
      <c r="AZ173" s="124"/>
      <c r="BA173" s="124"/>
      <c r="BB173" s="124"/>
      <c r="BC173" s="124"/>
      <c r="BD173" s="124"/>
      <c r="BE173" s="124"/>
      <c r="BF173" s="124"/>
      <c r="BG173" s="124"/>
      <c r="BH173" s="124"/>
    </row>
    <row r="174" spans="16:60" s="16" customFormat="1" x14ac:dyDescent="0.25"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  <c r="AK174" s="124"/>
      <c r="AL174" s="124"/>
      <c r="AM174" s="124"/>
      <c r="AN174" s="124"/>
      <c r="AO174" s="124"/>
      <c r="AP174" s="124"/>
      <c r="AQ174" s="124"/>
      <c r="AR174" s="124"/>
      <c r="AS174" s="124"/>
      <c r="AT174" s="124"/>
      <c r="AU174" s="124"/>
      <c r="AV174" s="124"/>
      <c r="AW174" s="124"/>
      <c r="AX174" s="124"/>
      <c r="AY174" s="124"/>
      <c r="AZ174" s="124"/>
      <c r="BA174" s="124"/>
      <c r="BB174" s="124"/>
      <c r="BC174" s="124"/>
      <c r="BD174" s="124"/>
      <c r="BE174" s="124"/>
      <c r="BF174" s="124"/>
      <c r="BG174" s="124"/>
      <c r="BH174" s="124"/>
    </row>
    <row r="175" spans="16:60" s="16" customFormat="1" x14ac:dyDescent="0.25"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4"/>
      <c r="AN175" s="124"/>
      <c r="AO175" s="124"/>
      <c r="AP175" s="124"/>
      <c r="AQ175" s="124"/>
      <c r="AR175" s="124"/>
      <c r="AS175" s="124"/>
      <c r="AT175" s="124"/>
      <c r="AU175" s="124"/>
      <c r="AV175" s="124"/>
      <c r="AW175" s="124"/>
      <c r="AX175" s="124"/>
      <c r="AY175" s="124"/>
      <c r="AZ175" s="124"/>
      <c r="BA175" s="124"/>
      <c r="BB175" s="124"/>
      <c r="BC175" s="124"/>
      <c r="BD175" s="124"/>
      <c r="BE175" s="124"/>
      <c r="BF175" s="124"/>
      <c r="BG175" s="124"/>
      <c r="BH175" s="124"/>
    </row>
    <row r="176" spans="16:60" s="16" customFormat="1" x14ac:dyDescent="0.25"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  <c r="AA176" s="124"/>
      <c r="AB176" s="124"/>
      <c r="AC176" s="124"/>
      <c r="AD176" s="124"/>
      <c r="AE176" s="124"/>
      <c r="AF176" s="124"/>
      <c r="AG176" s="124"/>
      <c r="AH176" s="124"/>
      <c r="AI176" s="124"/>
      <c r="AJ176" s="124"/>
      <c r="AK176" s="124"/>
      <c r="AL176" s="124"/>
      <c r="AM176" s="124"/>
      <c r="AN176" s="124"/>
      <c r="AO176" s="124"/>
      <c r="AP176" s="124"/>
      <c r="AQ176" s="124"/>
      <c r="AR176" s="124"/>
      <c r="AS176" s="124"/>
      <c r="AT176" s="124"/>
      <c r="AU176" s="124"/>
      <c r="AV176" s="124"/>
      <c r="AW176" s="124"/>
      <c r="AX176" s="124"/>
      <c r="AY176" s="124"/>
      <c r="AZ176" s="124"/>
      <c r="BA176" s="124"/>
      <c r="BB176" s="124"/>
      <c r="BC176" s="124"/>
      <c r="BD176" s="124"/>
      <c r="BE176" s="124"/>
      <c r="BF176" s="124"/>
      <c r="BG176" s="124"/>
      <c r="BH176" s="124"/>
    </row>
    <row r="177" spans="16:60" s="16" customFormat="1" x14ac:dyDescent="0.25"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  <c r="AG177" s="124"/>
      <c r="AH177" s="124"/>
      <c r="AI177" s="124"/>
      <c r="AJ177" s="124"/>
      <c r="AK177" s="124"/>
      <c r="AL177" s="124"/>
      <c r="AM177" s="124"/>
      <c r="AN177" s="124"/>
      <c r="AO177" s="124"/>
      <c r="AP177" s="124"/>
      <c r="AQ177" s="124"/>
      <c r="AR177" s="124"/>
      <c r="AS177" s="124"/>
      <c r="AT177" s="124"/>
      <c r="AU177" s="124"/>
      <c r="AV177" s="124"/>
      <c r="AW177" s="124"/>
      <c r="AX177" s="124"/>
      <c r="AY177" s="124"/>
      <c r="AZ177" s="124"/>
      <c r="BA177" s="124"/>
      <c r="BB177" s="124"/>
      <c r="BC177" s="124"/>
      <c r="BD177" s="124"/>
      <c r="BE177" s="124"/>
      <c r="BF177" s="124"/>
      <c r="BG177" s="124"/>
      <c r="BH177" s="124"/>
    </row>
    <row r="178" spans="16:60" s="16" customFormat="1" x14ac:dyDescent="0.25"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/>
      <c r="AJ178" s="124"/>
      <c r="AK178" s="124"/>
      <c r="AL178" s="124"/>
      <c r="AM178" s="124"/>
      <c r="AN178" s="124"/>
      <c r="AO178" s="124"/>
      <c r="AP178" s="124"/>
      <c r="AQ178" s="124"/>
      <c r="AR178" s="124"/>
      <c r="AS178" s="124"/>
      <c r="AT178" s="124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24"/>
    </row>
    <row r="179" spans="16:60" s="16" customFormat="1" x14ac:dyDescent="0.25"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4"/>
      <c r="AJ179" s="124"/>
      <c r="AK179" s="124"/>
      <c r="AL179" s="124"/>
      <c r="AM179" s="124"/>
      <c r="AN179" s="124"/>
      <c r="AO179" s="124"/>
      <c r="AP179" s="124"/>
      <c r="AQ179" s="124"/>
      <c r="AR179" s="124"/>
      <c r="AS179" s="124"/>
      <c r="AT179" s="124"/>
      <c r="AU179" s="124"/>
      <c r="AV179" s="124"/>
      <c r="AW179" s="124"/>
      <c r="AX179" s="124"/>
      <c r="AY179" s="124"/>
      <c r="AZ179" s="124"/>
      <c r="BA179" s="124"/>
      <c r="BB179" s="124"/>
      <c r="BC179" s="124"/>
      <c r="BD179" s="124"/>
      <c r="BE179" s="124"/>
      <c r="BF179" s="124"/>
      <c r="BG179" s="124"/>
      <c r="BH179" s="124"/>
    </row>
    <row r="180" spans="16:60" s="16" customFormat="1" x14ac:dyDescent="0.25"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  <c r="AJ180" s="124"/>
      <c r="AK180" s="124"/>
      <c r="AL180" s="124"/>
      <c r="AM180" s="124"/>
      <c r="AN180" s="124"/>
      <c r="AO180" s="124"/>
      <c r="AP180" s="124"/>
      <c r="AQ180" s="124"/>
      <c r="AR180" s="124"/>
      <c r="AS180" s="124"/>
      <c r="AT180" s="124"/>
      <c r="AU180" s="124"/>
      <c r="AV180" s="124"/>
      <c r="AW180" s="124"/>
      <c r="AX180" s="124"/>
      <c r="AY180" s="124"/>
      <c r="AZ180" s="124"/>
      <c r="BA180" s="124"/>
      <c r="BB180" s="124"/>
      <c r="BC180" s="124"/>
      <c r="BD180" s="124"/>
      <c r="BE180" s="124"/>
      <c r="BF180" s="124"/>
      <c r="BG180" s="124"/>
      <c r="BH180" s="124"/>
    </row>
    <row r="181" spans="16:60" s="16" customFormat="1" x14ac:dyDescent="0.25"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  <c r="AG181" s="124"/>
      <c r="AH181" s="124"/>
      <c r="AI181" s="124"/>
      <c r="AJ181" s="124"/>
      <c r="AK181" s="124"/>
      <c r="AL181" s="124"/>
      <c r="AM181" s="124"/>
      <c r="AN181" s="124"/>
      <c r="AO181" s="124"/>
      <c r="AP181" s="124"/>
      <c r="AQ181" s="124"/>
      <c r="AR181" s="124"/>
      <c r="AS181" s="124"/>
      <c r="AT181" s="124"/>
      <c r="AU181" s="124"/>
      <c r="AV181" s="124"/>
      <c r="AW181" s="124"/>
      <c r="AX181" s="124"/>
      <c r="AY181" s="124"/>
      <c r="AZ181" s="124"/>
      <c r="BA181" s="124"/>
      <c r="BB181" s="124"/>
      <c r="BC181" s="124"/>
      <c r="BD181" s="124"/>
      <c r="BE181" s="124"/>
      <c r="BF181" s="124"/>
      <c r="BG181" s="124"/>
      <c r="BH181" s="124"/>
    </row>
    <row r="182" spans="16:60" s="16" customFormat="1" x14ac:dyDescent="0.25"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  <c r="AH182" s="124"/>
      <c r="AI182" s="124"/>
      <c r="AJ182" s="124"/>
      <c r="AK182" s="124"/>
      <c r="AL182" s="124"/>
      <c r="AM182" s="124"/>
      <c r="AN182" s="124"/>
      <c r="AO182" s="124"/>
      <c r="AP182" s="124"/>
      <c r="AQ182" s="124"/>
      <c r="AR182" s="124"/>
      <c r="AS182" s="124"/>
      <c r="AT182" s="124"/>
      <c r="AU182" s="124"/>
      <c r="AV182" s="124"/>
      <c r="AW182" s="124"/>
      <c r="AX182" s="124"/>
      <c r="AY182" s="124"/>
      <c r="AZ182" s="124"/>
      <c r="BA182" s="124"/>
      <c r="BB182" s="124"/>
      <c r="BC182" s="124"/>
      <c r="BD182" s="124"/>
      <c r="BE182" s="124"/>
      <c r="BF182" s="124"/>
      <c r="BG182" s="124"/>
      <c r="BH182" s="124"/>
    </row>
    <row r="183" spans="16:60" s="16" customFormat="1" x14ac:dyDescent="0.25"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  <c r="AA183" s="124"/>
      <c r="AB183" s="124"/>
      <c r="AC183" s="124"/>
      <c r="AD183" s="124"/>
      <c r="AE183" s="124"/>
      <c r="AF183" s="124"/>
      <c r="AG183" s="124"/>
      <c r="AH183" s="124"/>
      <c r="AI183" s="124"/>
      <c r="AJ183" s="124"/>
      <c r="AK183" s="124"/>
      <c r="AL183" s="124"/>
      <c r="AM183" s="124"/>
      <c r="AN183" s="124"/>
      <c r="AO183" s="124"/>
      <c r="AP183" s="124"/>
      <c r="AQ183" s="124"/>
      <c r="AR183" s="124"/>
      <c r="AS183" s="124"/>
      <c r="AT183" s="124"/>
      <c r="AU183" s="124"/>
      <c r="AV183" s="124"/>
      <c r="AW183" s="124"/>
      <c r="AX183" s="124"/>
      <c r="AY183" s="124"/>
      <c r="AZ183" s="124"/>
      <c r="BA183" s="124"/>
      <c r="BB183" s="124"/>
      <c r="BC183" s="124"/>
      <c r="BD183" s="124"/>
      <c r="BE183" s="124"/>
      <c r="BF183" s="124"/>
      <c r="BG183" s="124"/>
      <c r="BH183" s="124"/>
    </row>
    <row r="184" spans="16:60" s="16" customFormat="1" x14ac:dyDescent="0.25"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  <c r="AE184" s="124"/>
      <c r="AF184" s="124"/>
      <c r="AG184" s="124"/>
      <c r="AH184" s="124"/>
      <c r="AI184" s="124"/>
      <c r="AJ184" s="124"/>
      <c r="AK184" s="124"/>
      <c r="AL184" s="124"/>
      <c r="AM184" s="124"/>
      <c r="AN184" s="124"/>
      <c r="AO184" s="124"/>
      <c r="AP184" s="124"/>
      <c r="AQ184" s="124"/>
      <c r="AR184" s="124"/>
      <c r="AS184" s="124"/>
      <c r="AT184" s="124"/>
      <c r="AU184" s="124"/>
      <c r="AV184" s="124"/>
      <c r="AW184" s="124"/>
      <c r="AX184" s="124"/>
      <c r="AY184" s="124"/>
      <c r="AZ184" s="124"/>
      <c r="BA184" s="124"/>
      <c r="BB184" s="124"/>
      <c r="BC184" s="124"/>
      <c r="BD184" s="124"/>
      <c r="BE184" s="124"/>
      <c r="BF184" s="124"/>
      <c r="BG184" s="124"/>
      <c r="BH184" s="124"/>
    </row>
    <row r="185" spans="16:60" s="16" customFormat="1" x14ac:dyDescent="0.25"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4"/>
      <c r="AG185" s="124"/>
      <c r="AH185" s="124"/>
      <c r="AI185" s="124"/>
      <c r="AJ185" s="124"/>
      <c r="AK185" s="124"/>
      <c r="AL185" s="124"/>
      <c r="AM185" s="124"/>
      <c r="AN185" s="124"/>
      <c r="AO185" s="124"/>
      <c r="AP185" s="124"/>
      <c r="AQ185" s="124"/>
      <c r="AR185" s="124"/>
      <c r="AS185" s="124"/>
      <c r="AT185" s="124"/>
      <c r="AU185" s="124"/>
      <c r="AV185" s="124"/>
      <c r="AW185" s="124"/>
      <c r="AX185" s="124"/>
      <c r="AY185" s="124"/>
      <c r="AZ185" s="124"/>
      <c r="BA185" s="124"/>
      <c r="BB185" s="124"/>
      <c r="BC185" s="124"/>
      <c r="BD185" s="124"/>
      <c r="BE185" s="124"/>
      <c r="BF185" s="124"/>
      <c r="BG185" s="124"/>
      <c r="BH185" s="124"/>
    </row>
    <row r="186" spans="16:60" s="16" customFormat="1" x14ac:dyDescent="0.25"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4"/>
      <c r="AG186" s="124"/>
      <c r="AH186" s="124"/>
      <c r="AI186" s="124"/>
      <c r="AJ186" s="124"/>
      <c r="AK186" s="124"/>
      <c r="AL186" s="124"/>
      <c r="AM186" s="124"/>
      <c r="AN186" s="124"/>
      <c r="AO186" s="124"/>
      <c r="AP186" s="124"/>
      <c r="AQ186" s="124"/>
      <c r="AR186" s="124"/>
      <c r="AS186" s="124"/>
      <c r="AT186" s="124"/>
      <c r="AU186" s="124"/>
      <c r="AV186" s="124"/>
      <c r="AW186" s="124"/>
      <c r="AX186" s="124"/>
      <c r="AY186" s="124"/>
      <c r="AZ186" s="124"/>
      <c r="BA186" s="124"/>
      <c r="BB186" s="124"/>
      <c r="BC186" s="124"/>
      <c r="BD186" s="124"/>
      <c r="BE186" s="124"/>
      <c r="BF186" s="124"/>
      <c r="BG186" s="124"/>
      <c r="BH186" s="124"/>
    </row>
    <row r="187" spans="16:60" s="16" customFormat="1" x14ac:dyDescent="0.25"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4"/>
      <c r="AG187" s="124"/>
      <c r="AH187" s="124"/>
      <c r="AI187" s="124"/>
      <c r="AJ187" s="124"/>
      <c r="AK187" s="124"/>
      <c r="AL187" s="124"/>
      <c r="AM187" s="124"/>
      <c r="AN187" s="124"/>
      <c r="AO187" s="124"/>
      <c r="AP187" s="124"/>
      <c r="AQ187" s="124"/>
      <c r="AR187" s="124"/>
      <c r="AS187" s="124"/>
      <c r="AT187" s="124"/>
      <c r="AU187" s="124"/>
      <c r="AV187" s="124"/>
      <c r="AW187" s="124"/>
      <c r="AX187" s="124"/>
      <c r="AY187" s="124"/>
      <c r="AZ187" s="124"/>
      <c r="BA187" s="124"/>
      <c r="BB187" s="124"/>
      <c r="BC187" s="124"/>
      <c r="BD187" s="124"/>
      <c r="BE187" s="124"/>
      <c r="BF187" s="124"/>
      <c r="BG187" s="124"/>
      <c r="BH187" s="124"/>
    </row>
    <row r="188" spans="16:60" s="16" customFormat="1" x14ac:dyDescent="0.25"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  <c r="AJ188" s="124"/>
      <c r="AK188" s="124"/>
      <c r="AL188" s="124"/>
      <c r="AM188" s="124"/>
      <c r="AN188" s="124"/>
      <c r="AO188" s="124"/>
      <c r="AP188" s="124"/>
      <c r="AQ188" s="124"/>
      <c r="AR188" s="124"/>
      <c r="AS188" s="124"/>
      <c r="AT188" s="124"/>
      <c r="AU188" s="124"/>
      <c r="AV188" s="124"/>
      <c r="AW188" s="124"/>
      <c r="AX188" s="124"/>
      <c r="AY188" s="124"/>
      <c r="AZ188" s="124"/>
      <c r="BA188" s="124"/>
      <c r="BB188" s="124"/>
      <c r="BC188" s="124"/>
      <c r="BD188" s="124"/>
      <c r="BE188" s="124"/>
      <c r="BF188" s="124"/>
      <c r="BG188" s="124"/>
      <c r="BH188" s="124"/>
    </row>
    <row r="189" spans="16:60" s="16" customFormat="1" x14ac:dyDescent="0.25"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  <c r="AJ189" s="124"/>
      <c r="AK189" s="124"/>
      <c r="AL189" s="124"/>
      <c r="AM189" s="124"/>
      <c r="AN189" s="124"/>
      <c r="AO189" s="124"/>
      <c r="AP189" s="124"/>
      <c r="AQ189" s="124"/>
      <c r="AR189" s="124"/>
      <c r="AS189" s="124"/>
      <c r="AT189" s="124"/>
      <c r="AU189" s="124"/>
      <c r="AV189" s="124"/>
      <c r="AW189" s="124"/>
      <c r="AX189" s="124"/>
      <c r="AY189" s="124"/>
      <c r="AZ189" s="124"/>
      <c r="BA189" s="124"/>
      <c r="BB189" s="124"/>
      <c r="BC189" s="124"/>
      <c r="BD189" s="124"/>
      <c r="BE189" s="124"/>
      <c r="BF189" s="124"/>
      <c r="BG189" s="124"/>
      <c r="BH189" s="124"/>
    </row>
    <row r="190" spans="16:60" s="16" customFormat="1" x14ac:dyDescent="0.25"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  <c r="AJ190" s="124"/>
      <c r="AK190" s="124"/>
      <c r="AL190" s="124"/>
      <c r="AM190" s="124"/>
      <c r="AN190" s="124"/>
      <c r="AO190" s="124"/>
      <c r="AP190" s="124"/>
      <c r="AQ190" s="124"/>
      <c r="AR190" s="124"/>
      <c r="AS190" s="124"/>
      <c r="AT190" s="124"/>
      <c r="AU190" s="124"/>
      <c r="AV190" s="124"/>
      <c r="AW190" s="124"/>
      <c r="AX190" s="124"/>
      <c r="AY190" s="124"/>
      <c r="AZ190" s="124"/>
      <c r="BA190" s="124"/>
      <c r="BB190" s="124"/>
      <c r="BC190" s="124"/>
      <c r="BD190" s="124"/>
      <c r="BE190" s="124"/>
      <c r="BF190" s="124"/>
      <c r="BG190" s="124"/>
      <c r="BH190" s="124"/>
    </row>
    <row r="191" spans="16:60" s="16" customFormat="1" x14ac:dyDescent="0.25"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4"/>
      <c r="AG191" s="124"/>
      <c r="AH191" s="124"/>
      <c r="AI191" s="124"/>
      <c r="AJ191" s="124"/>
      <c r="AK191" s="124"/>
      <c r="AL191" s="124"/>
      <c r="AM191" s="124"/>
      <c r="AN191" s="124"/>
      <c r="AO191" s="124"/>
      <c r="AP191" s="124"/>
      <c r="AQ191" s="124"/>
      <c r="AR191" s="124"/>
      <c r="AS191" s="124"/>
      <c r="AT191" s="124"/>
      <c r="AU191" s="124"/>
      <c r="AV191" s="124"/>
      <c r="AW191" s="124"/>
      <c r="AX191" s="124"/>
      <c r="AY191" s="124"/>
      <c r="AZ191" s="124"/>
      <c r="BA191" s="124"/>
      <c r="BB191" s="124"/>
      <c r="BC191" s="124"/>
      <c r="BD191" s="124"/>
      <c r="BE191" s="124"/>
      <c r="BF191" s="124"/>
      <c r="BG191" s="124"/>
      <c r="BH191" s="124"/>
    </row>
    <row r="192" spans="16:60" s="16" customFormat="1" x14ac:dyDescent="0.25"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4"/>
      <c r="AG192" s="124"/>
      <c r="AH192" s="124"/>
      <c r="AI192" s="124"/>
      <c r="AJ192" s="124"/>
      <c r="AK192" s="124"/>
      <c r="AL192" s="124"/>
      <c r="AM192" s="124"/>
      <c r="AN192" s="124"/>
      <c r="AO192" s="124"/>
      <c r="AP192" s="124"/>
      <c r="AQ192" s="124"/>
      <c r="AR192" s="124"/>
      <c r="AS192" s="124"/>
      <c r="AT192" s="124"/>
      <c r="AU192" s="124"/>
      <c r="AV192" s="124"/>
      <c r="AW192" s="124"/>
      <c r="AX192" s="124"/>
      <c r="AY192" s="124"/>
      <c r="AZ192" s="124"/>
      <c r="BA192" s="124"/>
      <c r="BB192" s="124"/>
      <c r="BC192" s="124"/>
      <c r="BD192" s="124"/>
      <c r="BE192" s="124"/>
      <c r="BF192" s="124"/>
      <c r="BG192" s="124"/>
      <c r="BH192" s="124"/>
    </row>
    <row r="193" spans="16:60" s="16" customFormat="1" x14ac:dyDescent="0.25"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124"/>
      <c r="AJ193" s="124"/>
      <c r="AK193" s="124"/>
      <c r="AL193" s="124"/>
      <c r="AM193" s="124"/>
      <c r="AN193" s="124"/>
      <c r="AO193" s="124"/>
      <c r="AP193" s="124"/>
      <c r="AQ193" s="124"/>
      <c r="AR193" s="124"/>
      <c r="AS193" s="124"/>
      <c r="AT193" s="124"/>
      <c r="AU193" s="124"/>
      <c r="AV193" s="124"/>
      <c r="AW193" s="124"/>
      <c r="AX193" s="124"/>
      <c r="AY193" s="124"/>
      <c r="AZ193" s="124"/>
      <c r="BA193" s="124"/>
      <c r="BB193" s="124"/>
      <c r="BC193" s="124"/>
      <c r="BD193" s="124"/>
      <c r="BE193" s="124"/>
      <c r="BF193" s="124"/>
      <c r="BG193" s="124"/>
      <c r="BH193" s="124"/>
    </row>
    <row r="194" spans="16:60" s="16" customFormat="1" x14ac:dyDescent="0.25"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  <c r="AG194" s="124"/>
      <c r="AH194" s="124"/>
      <c r="AI194" s="124"/>
      <c r="AJ194" s="124"/>
      <c r="AK194" s="124"/>
      <c r="AL194" s="124"/>
      <c r="AM194" s="124"/>
      <c r="AN194" s="124"/>
      <c r="AO194" s="124"/>
      <c r="AP194" s="124"/>
      <c r="AQ194" s="124"/>
      <c r="AR194" s="124"/>
      <c r="AS194" s="124"/>
      <c r="AT194" s="124"/>
      <c r="AU194" s="124"/>
      <c r="AV194" s="124"/>
      <c r="AW194" s="124"/>
      <c r="AX194" s="124"/>
      <c r="AY194" s="124"/>
      <c r="AZ194" s="124"/>
      <c r="BA194" s="124"/>
      <c r="BB194" s="124"/>
      <c r="BC194" s="124"/>
      <c r="BD194" s="124"/>
      <c r="BE194" s="124"/>
      <c r="BF194" s="124"/>
      <c r="BG194" s="124"/>
      <c r="BH194" s="124"/>
    </row>
    <row r="195" spans="16:60" s="16" customFormat="1" x14ac:dyDescent="0.25"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  <c r="AC195" s="124"/>
      <c r="AD195" s="124"/>
      <c r="AE195" s="124"/>
      <c r="AF195" s="124"/>
      <c r="AG195" s="124"/>
      <c r="AH195" s="124"/>
      <c r="AI195" s="124"/>
      <c r="AJ195" s="124"/>
      <c r="AK195" s="124"/>
      <c r="AL195" s="124"/>
      <c r="AM195" s="124"/>
      <c r="AN195" s="124"/>
      <c r="AO195" s="124"/>
      <c r="AP195" s="124"/>
      <c r="AQ195" s="124"/>
      <c r="AR195" s="124"/>
      <c r="AS195" s="124"/>
      <c r="AT195" s="124"/>
      <c r="AU195" s="124"/>
      <c r="AV195" s="124"/>
      <c r="AW195" s="124"/>
      <c r="AX195" s="124"/>
      <c r="AY195" s="124"/>
      <c r="AZ195" s="124"/>
      <c r="BA195" s="124"/>
      <c r="BB195" s="124"/>
      <c r="BC195" s="124"/>
      <c r="BD195" s="124"/>
      <c r="BE195" s="124"/>
      <c r="BF195" s="124"/>
      <c r="BG195" s="124"/>
      <c r="BH195" s="124"/>
    </row>
    <row r="196" spans="16:60" s="16" customFormat="1" x14ac:dyDescent="0.25"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124"/>
      <c r="AH196" s="124"/>
      <c r="AI196" s="124"/>
      <c r="AJ196" s="124"/>
      <c r="AK196" s="124"/>
      <c r="AL196" s="124"/>
      <c r="AM196" s="124"/>
      <c r="AN196" s="124"/>
      <c r="AO196" s="124"/>
      <c r="AP196" s="124"/>
      <c r="AQ196" s="124"/>
      <c r="AR196" s="124"/>
      <c r="AS196" s="124"/>
      <c r="AT196" s="124"/>
      <c r="AU196" s="124"/>
      <c r="AV196" s="124"/>
      <c r="AW196" s="124"/>
      <c r="AX196" s="124"/>
      <c r="AY196" s="124"/>
      <c r="AZ196" s="124"/>
      <c r="BA196" s="124"/>
      <c r="BB196" s="124"/>
      <c r="BC196" s="124"/>
      <c r="BD196" s="124"/>
      <c r="BE196" s="124"/>
      <c r="BF196" s="124"/>
      <c r="BG196" s="124"/>
      <c r="BH196" s="124"/>
    </row>
    <row r="197" spans="16:60" s="16" customFormat="1" x14ac:dyDescent="0.25"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4"/>
      <c r="AC197" s="124"/>
      <c r="AD197" s="124"/>
      <c r="AE197" s="124"/>
      <c r="AF197" s="124"/>
      <c r="AG197" s="124"/>
      <c r="AH197" s="124"/>
      <c r="AI197" s="124"/>
      <c r="AJ197" s="124"/>
      <c r="AK197" s="124"/>
      <c r="AL197" s="124"/>
      <c r="AM197" s="124"/>
      <c r="AN197" s="124"/>
      <c r="AO197" s="124"/>
      <c r="AP197" s="124"/>
      <c r="AQ197" s="124"/>
      <c r="AR197" s="124"/>
      <c r="AS197" s="124"/>
      <c r="AT197" s="124"/>
      <c r="AU197" s="124"/>
      <c r="AV197" s="124"/>
      <c r="AW197" s="124"/>
      <c r="AX197" s="124"/>
      <c r="AY197" s="124"/>
      <c r="AZ197" s="124"/>
      <c r="BA197" s="124"/>
      <c r="BB197" s="124"/>
      <c r="BC197" s="124"/>
      <c r="BD197" s="124"/>
      <c r="BE197" s="124"/>
      <c r="BF197" s="124"/>
      <c r="BG197" s="124"/>
      <c r="BH197" s="124"/>
    </row>
    <row r="198" spans="16:60" s="16" customFormat="1" x14ac:dyDescent="0.25"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4"/>
      <c r="AG198" s="124"/>
      <c r="AH198" s="124"/>
      <c r="AI198" s="124"/>
      <c r="AJ198" s="124"/>
      <c r="AK198" s="124"/>
      <c r="AL198" s="124"/>
      <c r="AM198" s="124"/>
      <c r="AN198" s="124"/>
      <c r="AO198" s="124"/>
      <c r="AP198" s="124"/>
      <c r="AQ198" s="124"/>
      <c r="AR198" s="124"/>
      <c r="AS198" s="124"/>
      <c r="AT198" s="124"/>
      <c r="AU198" s="124"/>
      <c r="AV198" s="124"/>
      <c r="AW198" s="124"/>
      <c r="AX198" s="124"/>
      <c r="AY198" s="124"/>
      <c r="AZ198" s="124"/>
      <c r="BA198" s="124"/>
      <c r="BB198" s="124"/>
      <c r="BC198" s="124"/>
      <c r="BD198" s="124"/>
      <c r="BE198" s="124"/>
      <c r="BF198" s="124"/>
      <c r="BG198" s="124"/>
      <c r="BH198" s="124"/>
    </row>
    <row r="199" spans="16:60" s="16" customFormat="1" x14ac:dyDescent="0.25"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4"/>
      <c r="AN199" s="124"/>
      <c r="AO199" s="124"/>
      <c r="AP199" s="124"/>
      <c r="AQ199" s="124"/>
      <c r="AR199" s="124"/>
      <c r="AS199" s="124"/>
      <c r="AT199" s="124"/>
      <c r="AU199" s="124"/>
      <c r="AV199" s="124"/>
      <c r="AW199" s="124"/>
      <c r="AX199" s="124"/>
      <c r="AY199" s="124"/>
      <c r="AZ199" s="124"/>
      <c r="BA199" s="124"/>
      <c r="BB199" s="124"/>
      <c r="BC199" s="124"/>
      <c r="BD199" s="124"/>
      <c r="BE199" s="124"/>
      <c r="BF199" s="124"/>
      <c r="BG199" s="124"/>
      <c r="BH199" s="124"/>
    </row>
    <row r="200" spans="16:60" s="16" customFormat="1" x14ac:dyDescent="0.25"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  <c r="AB200" s="124"/>
      <c r="AC200" s="124"/>
      <c r="AD200" s="124"/>
      <c r="AE200" s="124"/>
      <c r="AF200" s="124"/>
      <c r="AG200" s="124"/>
      <c r="AH200" s="124"/>
      <c r="AI200" s="124"/>
      <c r="AJ200" s="124"/>
      <c r="AK200" s="124"/>
      <c r="AL200" s="124"/>
      <c r="AM200" s="124"/>
      <c r="AN200" s="124"/>
      <c r="AO200" s="124"/>
      <c r="AP200" s="124"/>
      <c r="AQ200" s="124"/>
      <c r="AR200" s="124"/>
      <c r="AS200" s="124"/>
      <c r="AT200" s="124"/>
      <c r="AU200" s="124"/>
      <c r="AV200" s="124"/>
      <c r="AW200" s="124"/>
      <c r="AX200" s="124"/>
      <c r="AY200" s="124"/>
      <c r="AZ200" s="124"/>
      <c r="BA200" s="124"/>
      <c r="BB200" s="124"/>
      <c r="BC200" s="124"/>
      <c r="BD200" s="124"/>
      <c r="BE200" s="124"/>
      <c r="BF200" s="124"/>
      <c r="BG200" s="124"/>
      <c r="BH200" s="124"/>
    </row>
    <row r="201" spans="16:60" s="16" customFormat="1" x14ac:dyDescent="0.25"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  <c r="AB201" s="124"/>
      <c r="AC201" s="124"/>
      <c r="AD201" s="124"/>
      <c r="AE201" s="124"/>
      <c r="AF201" s="124"/>
      <c r="AG201" s="124"/>
      <c r="AH201" s="124"/>
      <c r="AI201" s="124"/>
      <c r="AJ201" s="124"/>
      <c r="AK201" s="124"/>
      <c r="AL201" s="124"/>
      <c r="AM201" s="124"/>
      <c r="AN201" s="124"/>
      <c r="AO201" s="124"/>
      <c r="AP201" s="124"/>
      <c r="AQ201" s="124"/>
      <c r="AR201" s="124"/>
      <c r="AS201" s="124"/>
      <c r="AT201" s="124"/>
      <c r="AU201" s="124"/>
      <c r="AV201" s="124"/>
      <c r="AW201" s="124"/>
      <c r="AX201" s="124"/>
      <c r="AY201" s="124"/>
      <c r="AZ201" s="124"/>
      <c r="BA201" s="124"/>
      <c r="BB201" s="124"/>
      <c r="BC201" s="124"/>
      <c r="BD201" s="124"/>
      <c r="BE201" s="124"/>
      <c r="BF201" s="124"/>
      <c r="BG201" s="124"/>
      <c r="BH201" s="124"/>
    </row>
    <row r="202" spans="16:60" s="16" customFormat="1" x14ac:dyDescent="0.25"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  <c r="AB202" s="124"/>
      <c r="AC202" s="124"/>
      <c r="AD202" s="124"/>
      <c r="AE202" s="124"/>
      <c r="AF202" s="124"/>
      <c r="AG202" s="124"/>
      <c r="AH202" s="124"/>
      <c r="AI202" s="124"/>
      <c r="AJ202" s="124"/>
      <c r="AK202" s="124"/>
      <c r="AL202" s="124"/>
      <c r="AM202" s="124"/>
      <c r="AN202" s="124"/>
      <c r="AO202" s="124"/>
      <c r="AP202" s="124"/>
      <c r="AQ202" s="124"/>
      <c r="AR202" s="124"/>
      <c r="AS202" s="124"/>
      <c r="AT202" s="124"/>
      <c r="AU202" s="124"/>
      <c r="AV202" s="124"/>
      <c r="AW202" s="124"/>
      <c r="AX202" s="124"/>
      <c r="AY202" s="124"/>
      <c r="AZ202" s="124"/>
      <c r="BA202" s="124"/>
      <c r="BB202" s="124"/>
      <c r="BC202" s="124"/>
      <c r="BD202" s="124"/>
      <c r="BE202" s="124"/>
      <c r="BF202" s="124"/>
      <c r="BG202" s="124"/>
      <c r="BH202" s="124"/>
    </row>
    <row r="203" spans="16:60" s="16" customFormat="1" x14ac:dyDescent="0.25"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  <c r="AA203" s="124"/>
      <c r="AB203" s="124"/>
      <c r="AC203" s="124"/>
      <c r="AD203" s="124"/>
      <c r="AE203" s="124"/>
      <c r="AF203" s="124"/>
      <c r="AG203" s="124"/>
      <c r="AH203" s="124"/>
      <c r="AI203" s="124"/>
      <c r="AJ203" s="124"/>
      <c r="AK203" s="124"/>
      <c r="AL203" s="124"/>
      <c r="AM203" s="124"/>
      <c r="AN203" s="124"/>
      <c r="AO203" s="124"/>
      <c r="AP203" s="124"/>
      <c r="AQ203" s="124"/>
      <c r="AR203" s="124"/>
      <c r="AS203" s="124"/>
      <c r="AT203" s="124"/>
      <c r="AU203" s="124"/>
      <c r="AV203" s="124"/>
      <c r="AW203" s="124"/>
      <c r="AX203" s="124"/>
      <c r="AY203" s="124"/>
      <c r="AZ203" s="124"/>
      <c r="BA203" s="124"/>
      <c r="BB203" s="124"/>
      <c r="BC203" s="124"/>
      <c r="BD203" s="124"/>
      <c r="BE203" s="124"/>
      <c r="BF203" s="124"/>
      <c r="BG203" s="124"/>
      <c r="BH203" s="124"/>
    </row>
    <row r="204" spans="16:60" s="16" customFormat="1" x14ac:dyDescent="0.25"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  <c r="AA204" s="124"/>
      <c r="AB204" s="124"/>
      <c r="AC204" s="124"/>
      <c r="AD204" s="124"/>
      <c r="AE204" s="124"/>
      <c r="AF204" s="124"/>
      <c r="AG204" s="124"/>
      <c r="AH204" s="124"/>
      <c r="AI204" s="124"/>
      <c r="AJ204" s="124"/>
      <c r="AK204" s="124"/>
      <c r="AL204" s="124"/>
      <c r="AM204" s="124"/>
      <c r="AN204" s="124"/>
      <c r="AO204" s="124"/>
      <c r="AP204" s="124"/>
      <c r="AQ204" s="124"/>
      <c r="AR204" s="124"/>
      <c r="AS204" s="124"/>
      <c r="AT204" s="124"/>
      <c r="AU204" s="124"/>
      <c r="AV204" s="124"/>
      <c r="AW204" s="124"/>
      <c r="AX204" s="124"/>
      <c r="AY204" s="124"/>
      <c r="AZ204" s="124"/>
      <c r="BA204" s="124"/>
      <c r="BB204" s="124"/>
      <c r="BC204" s="124"/>
      <c r="BD204" s="124"/>
      <c r="BE204" s="124"/>
      <c r="BF204" s="124"/>
      <c r="BG204" s="124"/>
      <c r="BH204" s="124"/>
    </row>
    <row r="205" spans="16:60" s="16" customFormat="1" x14ac:dyDescent="0.25"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  <c r="AB205" s="124"/>
      <c r="AC205" s="124"/>
      <c r="AD205" s="124"/>
      <c r="AE205" s="124"/>
      <c r="AF205" s="124"/>
      <c r="AG205" s="124"/>
      <c r="AH205" s="124"/>
      <c r="AI205" s="124"/>
      <c r="AJ205" s="124"/>
      <c r="AK205" s="124"/>
      <c r="AL205" s="124"/>
      <c r="AM205" s="124"/>
      <c r="AN205" s="124"/>
      <c r="AO205" s="124"/>
      <c r="AP205" s="124"/>
      <c r="AQ205" s="124"/>
      <c r="AR205" s="124"/>
      <c r="AS205" s="124"/>
      <c r="AT205" s="124"/>
      <c r="AU205" s="124"/>
      <c r="AV205" s="124"/>
      <c r="AW205" s="124"/>
      <c r="AX205" s="124"/>
      <c r="AY205" s="124"/>
      <c r="AZ205" s="124"/>
      <c r="BA205" s="124"/>
      <c r="BB205" s="124"/>
      <c r="BC205" s="124"/>
      <c r="BD205" s="124"/>
      <c r="BE205" s="124"/>
      <c r="BF205" s="124"/>
      <c r="BG205" s="124"/>
      <c r="BH205" s="124"/>
    </row>
    <row r="206" spans="16:60" s="16" customFormat="1" x14ac:dyDescent="0.25"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  <c r="AB206" s="124"/>
      <c r="AC206" s="124"/>
      <c r="AD206" s="124"/>
      <c r="AE206" s="124"/>
      <c r="AF206" s="124"/>
      <c r="AG206" s="124"/>
      <c r="AH206" s="124"/>
      <c r="AI206" s="124"/>
      <c r="AJ206" s="124"/>
      <c r="AK206" s="124"/>
      <c r="AL206" s="124"/>
      <c r="AM206" s="124"/>
      <c r="AN206" s="124"/>
      <c r="AO206" s="124"/>
      <c r="AP206" s="124"/>
      <c r="AQ206" s="124"/>
      <c r="AR206" s="124"/>
      <c r="AS206" s="124"/>
      <c r="AT206" s="124"/>
      <c r="AU206" s="124"/>
      <c r="AV206" s="124"/>
      <c r="AW206" s="124"/>
      <c r="AX206" s="124"/>
      <c r="AY206" s="124"/>
      <c r="AZ206" s="124"/>
      <c r="BA206" s="124"/>
      <c r="BB206" s="124"/>
      <c r="BC206" s="124"/>
      <c r="BD206" s="124"/>
      <c r="BE206" s="124"/>
      <c r="BF206" s="124"/>
      <c r="BG206" s="124"/>
      <c r="BH206" s="124"/>
    </row>
    <row r="207" spans="16:60" s="16" customFormat="1" x14ac:dyDescent="0.25"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4"/>
      <c r="AG207" s="124"/>
      <c r="AH207" s="124"/>
      <c r="AI207" s="124"/>
      <c r="AJ207" s="124"/>
      <c r="AK207" s="124"/>
      <c r="AL207" s="124"/>
      <c r="AM207" s="124"/>
      <c r="AN207" s="124"/>
      <c r="AO207" s="124"/>
      <c r="AP207" s="124"/>
      <c r="AQ207" s="124"/>
      <c r="AR207" s="124"/>
      <c r="AS207" s="124"/>
      <c r="AT207" s="124"/>
      <c r="AU207" s="124"/>
      <c r="AV207" s="124"/>
      <c r="AW207" s="124"/>
      <c r="AX207" s="124"/>
      <c r="AY207" s="124"/>
      <c r="AZ207" s="124"/>
      <c r="BA207" s="124"/>
      <c r="BB207" s="124"/>
      <c r="BC207" s="124"/>
      <c r="BD207" s="124"/>
      <c r="BE207" s="124"/>
      <c r="BF207" s="124"/>
      <c r="BG207" s="124"/>
      <c r="BH207" s="124"/>
    </row>
    <row r="208" spans="16:60" s="16" customFormat="1" x14ac:dyDescent="0.25"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124"/>
      <c r="AM208" s="124"/>
      <c r="AN208" s="124"/>
      <c r="AO208" s="124"/>
      <c r="AP208" s="124"/>
      <c r="AQ208" s="124"/>
      <c r="AR208" s="124"/>
      <c r="AS208" s="124"/>
      <c r="AT208" s="124"/>
      <c r="AU208" s="124"/>
      <c r="AV208" s="124"/>
      <c r="AW208" s="124"/>
      <c r="AX208" s="124"/>
      <c r="AY208" s="124"/>
      <c r="AZ208" s="124"/>
      <c r="BA208" s="124"/>
      <c r="BB208" s="124"/>
      <c r="BC208" s="124"/>
      <c r="BD208" s="124"/>
      <c r="BE208" s="124"/>
      <c r="BF208" s="124"/>
      <c r="BG208" s="124"/>
      <c r="BH208" s="124"/>
    </row>
    <row r="209" spans="16:60" s="16" customFormat="1" x14ac:dyDescent="0.25"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  <c r="AA209" s="124"/>
      <c r="AB209" s="124"/>
      <c r="AC209" s="124"/>
      <c r="AD209" s="124"/>
      <c r="AE209" s="124"/>
      <c r="AF209" s="124"/>
      <c r="AG209" s="124"/>
      <c r="AH209" s="124"/>
      <c r="AI209" s="124"/>
      <c r="AJ209" s="124"/>
      <c r="AK209" s="124"/>
      <c r="AL209" s="124"/>
      <c r="AM209" s="124"/>
      <c r="AN209" s="124"/>
      <c r="AO209" s="124"/>
      <c r="AP209" s="124"/>
      <c r="AQ209" s="124"/>
      <c r="AR209" s="124"/>
      <c r="AS209" s="124"/>
      <c r="AT209" s="124"/>
      <c r="AU209" s="124"/>
      <c r="AV209" s="124"/>
      <c r="AW209" s="124"/>
      <c r="AX209" s="124"/>
      <c r="AY209" s="124"/>
      <c r="AZ209" s="124"/>
      <c r="BA209" s="124"/>
      <c r="BB209" s="124"/>
      <c r="BC209" s="124"/>
      <c r="BD209" s="124"/>
      <c r="BE209" s="124"/>
      <c r="BF209" s="124"/>
      <c r="BG209" s="124"/>
      <c r="BH209" s="124"/>
    </row>
    <row r="210" spans="16:60" s="16" customFormat="1" x14ac:dyDescent="0.25"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24"/>
      <c r="AH210" s="124"/>
      <c r="AI210" s="124"/>
      <c r="AJ210" s="124"/>
      <c r="AK210" s="124"/>
      <c r="AL210" s="124"/>
      <c r="AM210" s="124"/>
      <c r="AN210" s="124"/>
      <c r="AO210" s="124"/>
      <c r="AP210" s="124"/>
      <c r="AQ210" s="124"/>
      <c r="AR210" s="124"/>
      <c r="AS210" s="124"/>
      <c r="AT210" s="124"/>
      <c r="AU210" s="124"/>
      <c r="AV210" s="124"/>
      <c r="AW210" s="124"/>
      <c r="AX210" s="124"/>
      <c r="AY210" s="124"/>
      <c r="AZ210" s="124"/>
      <c r="BA210" s="124"/>
      <c r="BB210" s="124"/>
      <c r="BC210" s="124"/>
      <c r="BD210" s="124"/>
      <c r="BE210" s="124"/>
      <c r="BF210" s="124"/>
      <c r="BG210" s="124"/>
      <c r="BH210" s="124"/>
    </row>
    <row r="211" spans="16:60" s="16" customFormat="1" x14ac:dyDescent="0.25"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  <c r="AG211" s="124"/>
      <c r="AH211" s="124"/>
      <c r="AI211" s="124"/>
      <c r="AJ211" s="124"/>
      <c r="AK211" s="124"/>
      <c r="AL211" s="124"/>
      <c r="AM211" s="124"/>
      <c r="AN211" s="124"/>
      <c r="AO211" s="124"/>
      <c r="AP211" s="124"/>
      <c r="AQ211" s="124"/>
      <c r="AR211" s="124"/>
      <c r="AS211" s="124"/>
      <c r="AT211" s="124"/>
      <c r="AU211" s="124"/>
      <c r="AV211" s="124"/>
      <c r="AW211" s="124"/>
      <c r="AX211" s="124"/>
      <c r="AY211" s="124"/>
      <c r="AZ211" s="124"/>
      <c r="BA211" s="124"/>
      <c r="BB211" s="124"/>
      <c r="BC211" s="124"/>
      <c r="BD211" s="124"/>
      <c r="BE211" s="124"/>
      <c r="BF211" s="124"/>
      <c r="BG211" s="124"/>
      <c r="BH211" s="124"/>
    </row>
    <row r="212" spans="16:60" s="16" customFormat="1" x14ac:dyDescent="0.25"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/>
      <c r="AK212" s="124"/>
      <c r="AL212" s="124"/>
      <c r="AM212" s="124"/>
      <c r="AN212" s="124"/>
      <c r="AO212" s="124"/>
      <c r="AP212" s="124"/>
      <c r="AQ212" s="124"/>
      <c r="AR212" s="124"/>
      <c r="AS212" s="124"/>
      <c r="AT212" s="124"/>
      <c r="AU212" s="124"/>
      <c r="AV212" s="124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</row>
    <row r="213" spans="16:60" s="16" customFormat="1" x14ac:dyDescent="0.25"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</row>
    <row r="214" spans="16:60" s="16" customFormat="1" x14ac:dyDescent="0.25"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  <c r="AG214" s="124"/>
      <c r="AH214" s="124"/>
      <c r="AI214" s="124"/>
      <c r="AJ214" s="124"/>
      <c r="AK214" s="124"/>
      <c r="AL214" s="124"/>
      <c r="AM214" s="124"/>
      <c r="AN214" s="124"/>
      <c r="AO214" s="124"/>
      <c r="AP214" s="124"/>
      <c r="AQ214" s="124"/>
      <c r="AR214" s="124"/>
      <c r="AS214" s="124"/>
      <c r="AT214" s="124"/>
      <c r="AU214" s="124"/>
      <c r="AV214" s="124"/>
      <c r="AW214" s="124"/>
      <c r="AX214" s="124"/>
      <c r="AY214" s="124"/>
      <c r="AZ214" s="124"/>
      <c r="BA214" s="124"/>
      <c r="BB214" s="124"/>
      <c r="BC214" s="124"/>
      <c r="BD214" s="124"/>
      <c r="BE214" s="124"/>
      <c r="BF214" s="124"/>
      <c r="BG214" s="124"/>
      <c r="BH214" s="124"/>
    </row>
    <row r="215" spans="16:60" s="16" customFormat="1" x14ac:dyDescent="0.25"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124"/>
      <c r="AC215" s="124"/>
      <c r="AD215" s="124"/>
      <c r="AE215" s="124"/>
      <c r="AF215" s="124"/>
      <c r="AG215" s="124"/>
      <c r="AH215" s="124"/>
      <c r="AI215" s="124"/>
      <c r="AJ215" s="124"/>
      <c r="AK215" s="124"/>
      <c r="AL215" s="124"/>
      <c r="AM215" s="124"/>
      <c r="AN215" s="124"/>
      <c r="AO215" s="124"/>
      <c r="AP215" s="124"/>
      <c r="AQ215" s="124"/>
      <c r="AR215" s="124"/>
      <c r="AS215" s="124"/>
      <c r="AT215" s="124"/>
      <c r="AU215" s="124"/>
      <c r="AV215" s="124"/>
      <c r="AW215" s="124"/>
      <c r="AX215" s="124"/>
      <c r="AY215" s="124"/>
      <c r="AZ215" s="124"/>
      <c r="BA215" s="124"/>
      <c r="BB215" s="124"/>
      <c r="BC215" s="124"/>
      <c r="BD215" s="124"/>
      <c r="BE215" s="124"/>
      <c r="BF215" s="124"/>
      <c r="BG215" s="124"/>
      <c r="BH215" s="124"/>
    </row>
    <row r="216" spans="16:60" s="16" customFormat="1" x14ac:dyDescent="0.25"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  <c r="AA216" s="124"/>
      <c r="AB216" s="124"/>
      <c r="AC216" s="124"/>
      <c r="AD216" s="124"/>
      <c r="AE216" s="124"/>
      <c r="AF216" s="124"/>
      <c r="AG216" s="124"/>
      <c r="AH216" s="124"/>
      <c r="AI216" s="124"/>
      <c r="AJ216" s="124"/>
      <c r="AK216" s="124"/>
      <c r="AL216" s="124"/>
      <c r="AM216" s="124"/>
      <c r="AN216" s="124"/>
      <c r="AO216" s="124"/>
      <c r="AP216" s="124"/>
      <c r="AQ216" s="124"/>
      <c r="AR216" s="124"/>
      <c r="AS216" s="124"/>
      <c r="AT216" s="124"/>
      <c r="AU216" s="124"/>
      <c r="AV216" s="124"/>
      <c r="AW216" s="124"/>
      <c r="AX216" s="124"/>
      <c r="AY216" s="124"/>
      <c r="AZ216" s="124"/>
      <c r="BA216" s="124"/>
      <c r="BB216" s="124"/>
      <c r="BC216" s="124"/>
      <c r="BD216" s="124"/>
      <c r="BE216" s="124"/>
      <c r="BF216" s="124"/>
      <c r="BG216" s="124"/>
      <c r="BH216" s="124"/>
    </row>
    <row r="217" spans="16:60" s="16" customFormat="1" x14ac:dyDescent="0.25"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  <c r="AL217" s="124"/>
      <c r="AM217" s="124"/>
      <c r="AN217" s="124"/>
      <c r="AO217" s="124"/>
      <c r="AP217" s="124"/>
      <c r="AQ217" s="124"/>
      <c r="AR217" s="124"/>
      <c r="AS217" s="124"/>
      <c r="AT217" s="124"/>
      <c r="AU217" s="124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4"/>
      <c r="BG217" s="124"/>
      <c r="BH217" s="124"/>
    </row>
    <row r="218" spans="16:60" s="16" customFormat="1" x14ac:dyDescent="0.25"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  <c r="AA218" s="124"/>
      <c r="AB218" s="124"/>
      <c r="AC218" s="124"/>
      <c r="AD218" s="124"/>
      <c r="AE218" s="124"/>
      <c r="AF218" s="124"/>
      <c r="AG218" s="124"/>
      <c r="AH218" s="124"/>
      <c r="AI218" s="124"/>
      <c r="AJ218" s="124"/>
      <c r="AK218" s="124"/>
      <c r="AL218" s="124"/>
      <c r="AM218" s="124"/>
      <c r="AN218" s="124"/>
      <c r="AO218" s="124"/>
      <c r="AP218" s="124"/>
      <c r="AQ218" s="124"/>
      <c r="AR218" s="124"/>
      <c r="AS218" s="124"/>
      <c r="AT218" s="124"/>
      <c r="AU218" s="124"/>
      <c r="AV218" s="124"/>
      <c r="AW218" s="124"/>
      <c r="AX218" s="124"/>
      <c r="AY218" s="124"/>
      <c r="AZ218" s="124"/>
      <c r="BA218" s="124"/>
      <c r="BB218" s="124"/>
      <c r="BC218" s="124"/>
      <c r="BD218" s="124"/>
      <c r="BE218" s="124"/>
      <c r="BF218" s="124"/>
      <c r="BG218" s="124"/>
      <c r="BH218" s="124"/>
    </row>
    <row r="219" spans="16:60" s="16" customFormat="1" x14ac:dyDescent="0.25"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  <c r="AA219" s="124"/>
      <c r="AB219" s="124"/>
      <c r="AC219" s="124"/>
      <c r="AD219" s="124"/>
      <c r="AE219" s="124"/>
      <c r="AF219" s="124"/>
      <c r="AG219" s="124"/>
      <c r="AH219" s="124"/>
      <c r="AI219" s="124"/>
      <c r="AJ219" s="124"/>
      <c r="AK219" s="124"/>
      <c r="AL219" s="124"/>
      <c r="AM219" s="124"/>
      <c r="AN219" s="124"/>
      <c r="AO219" s="124"/>
      <c r="AP219" s="124"/>
      <c r="AQ219" s="124"/>
      <c r="AR219" s="124"/>
      <c r="AS219" s="124"/>
      <c r="AT219" s="124"/>
      <c r="AU219" s="124"/>
      <c r="AV219" s="124"/>
      <c r="AW219" s="124"/>
      <c r="AX219" s="124"/>
      <c r="AY219" s="124"/>
      <c r="AZ219" s="124"/>
      <c r="BA219" s="124"/>
      <c r="BB219" s="124"/>
      <c r="BC219" s="124"/>
      <c r="BD219" s="124"/>
      <c r="BE219" s="124"/>
      <c r="BF219" s="124"/>
      <c r="BG219" s="124"/>
      <c r="BH219" s="124"/>
    </row>
    <row r="220" spans="16:60" s="16" customFormat="1" x14ac:dyDescent="0.25"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  <c r="AB220" s="124"/>
      <c r="AC220" s="124"/>
      <c r="AD220" s="124"/>
      <c r="AE220" s="124"/>
      <c r="AF220" s="124"/>
      <c r="AG220" s="124"/>
      <c r="AH220" s="124"/>
      <c r="AI220" s="124"/>
      <c r="AJ220" s="124"/>
      <c r="AK220" s="124"/>
      <c r="AL220" s="124"/>
      <c r="AM220" s="124"/>
      <c r="AN220" s="124"/>
      <c r="AO220" s="124"/>
      <c r="AP220" s="124"/>
      <c r="AQ220" s="124"/>
      <c r="AR220" s="124"/>
      <c r="AS220" s="124"/>
      <c r="AT220" s="124"/>
      <c r="AU220" s="124"/>
      <c r="AV220" s="124"/>
      <c r="AW220" s="124"/>
      <c r="AX220" s="124"/>
      <c r="AY220" s="124"/>
      <c r="AZ220" s="124"/>
      <c r="BA220" s="124"/>
      <c r="BB220" s="124"/>
      <c r="BC220" s="124"/>
      <c r="BD220" s="124"/>
      <c r="BE220" s="124"/>
      <c r="BF220" s="124"/>
      <c r="BG220" s="124"/>
      <c r="BH220" s="124"/>
    </row>
    <row r="221" spans="16:60" s="16" customFormat="1" x14ac:dyDescent="0.25"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124"/>
      <c r="AG221" s="124"/>
      <c r="AH221" s="124"/>
      <c r="AI221" s="124"/>
      <c r="AJ221" s="124"/>
      <c r="AK221" s="124"/>
      <c r="AL221" s="124"/>
      <c r="AM221" s="124"/>
      <c r="AN221" s="124"/>
      <c r="AO221" s="124"/>
      <c r="AP221" s="124"/>
      <c r="AQ221" s="124"/>
      <c r="AR221" s="124"/>
      <c r="AS221" s="124"/>
      <c r="AT221" s="124"/>
      <c r="AU221" s="124"/>
      <c r="AV221" s="124"/>
      <c r="AW221" s="124"/>
      <c r="AX221" s="124"/>
      <c r="AY221" s="124"/>
      <c r="AZ221" s="124"/>
      <c r="BA221" s="124"/>
      <c r="BB221" s="124"/>
      <c r="BC221" s="124"/>
      <c r="BD221" s="124"/>
      <c r="BE221" s="124"/>
      <c r="BF221" s="124"/>
      <c r="BG221" s="124"/>
      <c r="BH221" s="124"/>
    </row>
    <row r="222" spans="16:60" s="16" customFormat="1" x14ac:dyDescent="0.25"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  <c r="AA222" s="124"/>
      <c r="AB222" s="124"/>
      <c r="AC222" s="124"/>
      <c r="AD222" s="124"/>
      <c r="AE222" s="124"/>
      <c r="AF222" s="124"/>
      <c r="AG222" s="124"/>
      <c r="AH222" s="124"/>
      <c r="AI222" s="124"/>
      <c r="AJ222" s="124"/>
      <c r="AK222" s="124"/>
      <c r="AL222" s="124"/>
      <c r="AM222" s="124"/>
      <c r="AN222" s="124"/>
      <c r="AO222" s="124"/>
      <c r="AP222" s="124"/>
      <c r="AQ222" s="124"/>
      <c r="AR222" s="124"/>
      <c r="AS222" s="124"/>
      <c r="AT222" s="124"/>
      <c r="AU222" s="124"/>
      <c r="AV222" s="124"/>
      <c r="AW222" s="124"/>
      <c r="AX222" s="124"/>
      <c r="AY222" s="124"/>
      <c r="AZ222" s="124"/>
      <c r="BA222" s="124"/>
      <c r="BB222" s="124"/>
      <c r="BC222" s="124"/>
      <c r="BD222" s="124"/>
      <c r="BE222" s="124"/>
      <c r="BF222" s="124"/>
      <c r="BG222" s="124"/>
      <c r="BH222" s="124"/>
    </row>
    <row r="223" spans="16:60" s="16" customFormat="1" x14ac:dyDescent="0.25"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  <c r="AA223" s="124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124"/>
      <c r="AL223" s="124"/>
      <c r="AM223" s="124"/>
      <c r="AN223" s="124"/>
      <c r="AO223" s="124"/>
      <c r="AP223" s="124"/>
      <c r="AQ223" s="124"/>
      <c r="AR223" s="124"/>
      <c r="AS223" s="124"/>
      <c r="AT223" s="124"/>
      <c r="AU223" s="124"/>
      <c r="AV223" s="124"/>
      <c r="AW223" s="124"/>
      <c r="AX223" s="124"/>
      <c r="AY223" s="124"/>
      <c r="AZ223" s="124"/>
      <c r="BA223" s="124"/>
      <c r="BB223" s="124"/>
      <c r="BC223" s="124"/>
      <c r="BD223" s="124"/>
      <c r="BE223" s="124"/>
      <c r="BF223" s="124"/>
      <c r="BG223" s="124"/>
      <c r="BH223" s="124"/>
    </row>
    <row r="224" spans="16:60" s="16" customFormat="1" x14ac:dyDescent="0.25"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  <c r="AA224" s="124"/>
      <c r="AB224" s="124"/>
      <c r="AC224" s="124"/>
      <c r="AD224" s="124"/>
      <c r="AE224" s="124"/>
      <c r="AF224" s="124"/>
      <c r="AG224" s="124"/>
      <c r="AH224" s="124"/>
      <c r="AI224" s="124"/>
      <c r="AJ224" s="124"/>
      <c r="AK224" s="124"/>
      <c r="AL224" s="124"/>
      <c r="AM224" s="124"/>
      <c r="AN224" s="124"/>
      <c r="AO224" s="124"/>
      <c r="AP224" s="124"/>
      <c r="AQ224" s="124"/>
      <c r="AR224" s="124"/>
      <c r="AS224" s="124"/>
      <c r="AT224" s="124"/>
      <c r="AU224" s="124"/>
      <c r="AV224" s="124"/>
      <c r="AW224" s="124"/>
      <c r="AX224" s="124"/>
      <c r="AY224" s="124"/>
      <c r="AZ224" s="124"/>
      <c r="BA224" s="124"/>
      <c r="BB224" s="124"/>
      <c r="BC224" s="124"/>
      <c r="BD224" s="124"/>
      <c r="BE224" s="124"/>
      <c r="BF224" s="124"/>
      <c r="BG224" s="124"/>
      <c r="BH224" s="124"/>
    </row>
    <row r="225" spans="16:60" s="16" customFormat="1" x14ac:dyDescent="0.25"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  <c r="AA225" s="124"/>
      <c r="AB225" s="124"/>
      <c r="AC225" s="124"/>
      <c r="AD225" s="124"/>
      <c r="AE225" s="124"/>
      <c r="AF225" s="124"/>
      <c r="AG225" s="124"/>
      <c r="AH225" s="124"/>
      <c r="AI225" s="124"/>
      <c r="AJ225" s="124"/>
      <c r="AK225" s="124"/>
      <c r="AL225" s="124"/>
      <c r="AM225" s="124"/>
      <c r="AN225" s="124"/>
      <c r="AO225" s="124"/>
      <c r="AP225" s="124"/>
      <c r="AQ225" s="124"/>
      <c r="AR225" s="124"/>
      <c r="AS225" s="124"/>
      <c r="AT225" s="124"/>
      <c r="AU225" s="124"/>
      <c r="AV225" s="124"/>
      <c r="AW225" s="124"/>
      <c r="AX225" s="124"/>
      <c r="AY225" s="124"/>
      <c r="AZ225" s="124"/>
      <c r="BA225" s="124"/>
      <c r="BB225" s="124"/>
      <c r="BC225" s="124"/>
      <c r="BD225" s="124"/>
      <c r="BE225" s="124"/>
      <c r="BF225" s="124"/>
      <c r="BG225" s="124"/>
      <c r="BH225" s="124"/>
    </row>
    <row r="226" spans="16:60" s="16" customFormat="1" x14ac:dyDescent="0.25"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  <c r="AA226" s="124"/>
      <c r="AB226" s="124"/>
      <c r="AC226" s="124"/>
      <c r="AD226" s="124"/>
      <c r="AE226" s="124"/>
      <c r="AF226" s="124"/>
      <c r="AG226" s="124"/>
      <c r="AH226" s="124"/>
      <c r="AI226" s="124"/>
      <c r="AJ226" s="124"/>
      <c r="AK226" s="124"/>
      <c r="AL226" s="124"/>
      <c r="AM226" s="124"/>
      <c r="AN226" s="124"/>
      <c r="AO226" s="124"/>
      <c r="AP226" s="124"/>
      <c r="AQ226" s="124"/>
      <c r="AR226" s="124"/>
      <c r="AS226" s="124"/>
      <c r="AT226" s="124"/>
      <c r="AU226" s="124"/>
      <c r="AV226" s="124"/>
      <c r="AW226" s="124"/>
      <c r="AX226" s="124"/>
      <c r="AY226" s="124"/>
      <c r="AZ226" s="124"/>
      <c r="BA226" s="124"/>
      <c r="BB226" s="124"/>
      <c r="BC226" s="124"/>
      <c r="BD226" s="124"/>
      <c r="BE226" s="124"/>
      <c r="BF226" s="124"/>
      <c r="BG226" s="124"/>
      <c r="BH226" s="124"/>
    </row>
    <row r="227" spans="16:60" s="16" customFormat="1" x14ac:dyDescent="0.25"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  <c r="AA227" s="124"/>
      <c r="AB227" s="124"/>
      <c r="AC227" s="124"/>
      <c r="AD227" s="124"/>
      <c r="AE227" s="124"/>
      <c r="AF227" s="124"/>
      <c r="AG227" s="124"/>
      <c r="AH227" s="124"/>
      <c r="AI227" s="124"/>
      <c r="AJ227" s="124"/>
      <c r="AK227" s="124"/>
      <c r="AL227" s="124"/>
      <c r="AM227" s="124"/>
      <c r="AN227" s="124"/>
      <c r="AO227" s="124"/>
      <c r="AP227" s="124"/>
      <c r="AQ227" s="124"/>
      <c r="AR227" s="124"/>
      <c r="AS227" s="124"/>
      <c r="AT227" s="124"/>
      <c r="AU227" s="124"/>
      <c r="AV227" s="124"/>
      <c r="AW227" s="124"/>
      <c r="AX227" s="124"/>
      <c r="AY227" s="124"/>
      <c r="AZ227" s="124"/>
      <c r="BA227" s="124"/>
      <c r="BB227" s="124"/>
      <c r="BC227" s="124"/>
      <c r="BD227" s="124"/>
      <c r="BE227" s="124"/>
      <c r="BF227" s="124"/>
      <c r="BG227" s="124"/>
      <c r="BH227" s="124"/>
    </row>
    <row r="228" spans="16:60" s="16" customFormat="1" x14ac:dyDescent="0.25"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  <c r="AA228" s="124"/>
      <c r="AB228" s="124"/>
      <c r="AC228" s="124"/>
      <c r="AD228" s="124"/>
      <c r="AE228" s="124"/>
      <c r="AF228" s="124"/>
      <c r="AG228" s="124"/>
      <c r="AH228" s="124"/>
      <c r="AI228" s="124"/>
      <c r="AJ228" s="124"/>
      <c r="AK228" s="124"/>
      <c r="AL228" s="124"/>
      <c r="AM228" s="124"/>
      <c r="AN228" s="124"/>
      <c r="AO228" s="124"/>
      <c r="AP228" s="124"/>
      <c r="AQ228" s="124"/>
      <c r="AR228" s="124"/>
      <c r="AS228" s="124"/>
      <c r="AT228" s="124"/>
      <c r="AU228" s="124"/>
      <c r="AV228" s="124"/>
      <c r="AW228" s="124"/>
      <c r="AX228" s="124"/>
      <c r="AY228" s="124"/>
      <c r="AZ228" s="124"/>
      <c r="BA228" s="124"/>
      <c r="BB228" s="124"/>
      <c r="BC228" s="124"/>
      <c r="BD228" s="124"/>
      <c r="BE228" s="124"/>
      <c r="BF228" s="124"/>
      <c r="BG228" s="124"/>
      <c r="BH228" s="124"/>
    </row>
    <row r="229" spans="16:60" s="16" customFormat="1" x14ac:dyDescent="0.25"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  <c r="AA229" s="124"/>
      <c r="AB229" s="124"/>
      <c r="AC229" s="124"/>
      <c r="AD229" s="124"/>
      <c r="AE229" s="124"/>
      <c r="AF229" s="124"/>
      <c r="AG229" s="124"/>
      <c r="AH229" s="124"/>
      <c r="AI229" s="124"/>
      <c r="AJ229" s="124"/>
      <c r="AK229" s="124"/>
      <c r="AL229" s="124"/>
      <c r="AM229" s="124"/>
      <c r="AN229" s="124"/>
      <c r="AO229" s="124"/>
      <c r="AP229" s="124"/>
      <c r="AQ229" s="124"/>
      <c r="AR229" s="124"/>
      <c r="AS229" s="124"/>
      <c r="AT229" s="124"/>
      <c r="AU229" s="124"/>
      <c r="AV229" s="124"/>
      <c r="AW229" s="124"/>
      <c r="AX229" s="124"/>
      <c r="AY229" s="124"/>
      <c r="AZ229" s="124"/>
      <c r="BA229" s="124"/>
      <c r="BB229" s="124"/>
      <c r="BC229" s="124"/>
      <c r="BD229" s="124"/>
      <c r="BE229" s="124"/>
      <c r="BF229" s="124"/>
      <c r="BG229" s="124"/>
      <c r="BH229" s="124"/>
    </row>
    <row r="230" spans="16:60" s="16" customFormat="1" x14ac:dyDescent="0.25"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  <c r="AA230" s="124"/>
      <c r="AB230" s="124"/>
      <c r="AC230" s="124"/>
      <c r="AD230" s="124"/>
      <c r="AE230" s="124"/>
      <c r="AF230" s="124"/>
      <c r="AG230" s="124"/>
      <c r="AH230" s="124"/>
      <c r="AI230" s="124"/>
      <c r="AJ230" s="124"/>
      <c r="AK230" s="124"/>
      <c r="AL230" s="124"/>
      <c r="AM230" s="124"/>
      <c r="AN230" s="124"/>
      <c r="AO230" s="124"/>
      <c r="AP230" s="124"/>
      <c r="AQ230" s="124"/>
      <c r="AR230" s="124"/>
      <c r="AS230" s="124"/>
      <c r="AT230" s="124"/>
      <c r="AU230" s="124"/>
      <c r="AV230" s="124"/>
      <c r="AW230" s="124"/>
      <c r="AX230" s="124"/>
      <c r="AY230" s="124"/>
      <c r="AZ230" s="124"/>
      <c r="BA230" s="124"/>
      <c r="BB230" s="124"/>
      <c r="BC230" s="124"/>
      <c r="BD230" s="124"/>
      <c r="BE230" s="124"/>
      <c r="BF230" s="124"/>
      <c r="BG230" s="124"/>
      <c r="BH230" s="124"/>
    </row>
    <row r="231" spans="16:60" s="16" customFormat="1" x14ac:dyDescent="0.25"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  <c r="AA231" s="124"/>
      <c r="AB231" s="124"/>
      <c r="AC231" s="124"/>
      <c r="AD231" s="124"/>
      <c r="AE231" s="124"/>
      <c r="AF231" s="124"/>
      <c r="AG231" s="124"/>
      <c r="AH231" s="124"/>
      <c r="AI231" s="124"/>
      <c r="AJ231" s="124"/>
      <c r="AK231" s="124"/>
      <c r="AL231" s="124"/>
      <c r="AM231" s="124"/>
      <c r="AN231" s="124"/>
      <c r="AO231" s="124"/>
      <c r="AP231" s="124"/>
      <c r="AQ231" s="124"/>
      <c r="AR231" s="124"/>
      <c r="AS231" s="124"/>
      <c r="AT231" s="124"/>
      <c r="AU231" s="124"/>
      <c r="AV231" s="124"/>
      <c r="AW231" s="124"/>
      <c r="AX231" s="124"/>
      <c r="AY231" s="124"/>
      <c r="AZ231" s="124"/>
      <c r="BA231" s="124"/>
      <c r="BB231" s="124"/>
      <c r="BC231" s="124"/>
      <c r="BD231" s="124"/>
      <c r="BE231" s="124"/>
      <c r="BF231" s="124"/>
      <c r="BG231" s="124"/>
      <c r="BH231" s="124"/>
    </row>
    <row r="232" spans="16:60" s="16" customFormat="1" x14ac:dyDescent="0.25"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  <c r="AA232" s="124"/>
      <c r="AB232" s="124"/>
      <c r="AC232" s="124"/>
      <c r="AD232" s="124"/>
      <c r="AE232" s="124"/>
      <c r="AF232" s="124"/>
      <c r="AG232" s="124"/>
      <c r="AH232" s="124"/>
      <c r="AI232" s="124"/>
      <c r="AJ232" s="124"/>
      <c r="AK232" s="124"/>
      <c r="AL232" s="124"/>
      <c r="AM232" s="124"/>
      <c r="AN232" s="124"/>
      <c r="AO232" s="124"/>
      <c r="AP232" s="124"/>
      <c r="AQ232" s="124"/>
      <c r="AR232" s="124"/>
      <c r="AS232" s="124"/>
      <c r="AT232" s="124"/>
      <c r="AU232" s="124"/>
      <c r="AV232" s="124"/>
      <c r="AW232" s="124"/>
      <c r="AX232" s="124"/>
      <c r="AY232" s="124"/>
      <c r="AZ232" s="124"/>
      <c r="BA232" s="124"/>
      <c r="BB232" s="124"/>
      <c r="BC232" s="124"/>
      <c r="BD232" s="124"/>
      <c r="BE232" s="124"/>
      <c r="BF232" s="124"/>
      <c r="BG232" s="124"/>
      <c r="BH232" s="124"/>
    </row>
    <row r="233" spans="16:60" s="16" customFormat="1" x14ac:dyDescent="0.25"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  <c r="AA233" s="124"/>
      <c r="AB233" s="124"/>
      <c r="AC233" s="124"/>
      <c r="AD233" s="124"/>
      <c r="AE233" s="124"/>
      <c r="AF233" s="124"/>
      <c r="AG233" s="124"/>
      <c r="AH233" s="124"/>
      <c r="AI233" s="124"/>
      <c r="AJ233" s="124"/>
      <c r="AK233" s="124"/>
      <c r="AL233" s="124"/>
      <c r="AM233" s="124"/>
      <c r="AN233" s="124"/>
      <c r="AO233" s="124"/>
      <c r="AP233" s="124"/>
      <c r="AQ233" s="124"/>
      <c r="AR233" s="124"/>
      <c r="AS233" s="124"/>
      <c r="AT233" s="124"/>
      <c r="AU233" s="124"/>
      <c r="AV233" s="124"/>
      <c r="AW233" s="124"/>
      <c r="AX233" s="124"/>
      <c r="AY233" s="124"/>
      <c r="AZ233" s="124"/>
      <c r="BA233" s="124"/>
      <c r="BB233" s="124"/>
      <c r="BC233" s="124"/>
      <c r="BD233" s="124"/>
      <c r="BE233" s="124"/>
      <c r="BF233" s="124"/>
      <c r="BG233" s="124"/>
      <c r="BH233" s="124"/>
    </row>
    <row r="234" spans="16:60" s="16" customFormat="1" x14ac:dyDescent="0.25"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  <c r="AA234" s="124"/>
      <c r="AB234" s="124"/>
      <c r="AC234" s="124"/>
      <c r="AD234" s="124"/>
      <c r="AE234" s="124"/>
      <c r="AF234" s="124"/>
      <c r="AG234" s="124"/>
      <c r="AH234" s="124"/>
      <c r="AI234" s="124"/>
      <c r="AJ234" s="124"/>
      <c r="AK234" s="124"/>
      <c r="AL234" s="124"/>
      <c r="AM234" s="124"/>
      <c r="AN234" s="124"/>
      <c r="AO234" s="124"/>
      <c r="AP234" s="124"/>
      <c r="AQ234" s="124"/>
      <c r="AR234" s="124"/>
      <c r="AS234" s="124"/>
      <c r="AT234" s="124"/>
      <c r="AU234" s="124"/>
      <c r="AV234" s="124"/>
      <c r="AW234" s="124"/>
      <c r="AX234" s="124"/>
      <c r="AY234" s="124"/>
      <c r="AZ234" s="124"/>
      <c r="BA234" s="124"/>
      <c r="BB234" s="124"/>
      <c r="BC234" s="124"/>
      <c r="BD234" s="124"/>
      <c r="BE234" s="124"/>
      <c r="BF234" s="124"/>
      <c r="BG234" s="124"/>
      <c r="BH234" s="124"/>
    </row>
    <row r="235" spans="16:60" s="16" customFormat="1" x14ac:dyDescent="0.25"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124"/>
      <c r="AG235" s="124"/>
      <c r="AH235" s="124"/>
      <c r="AI235" s="124"/>
      <c r="AJ235" s="124"/>
      <c r="AK235" s="124"/>
      <c r="AL235" s="124"/>
      <c r="AM235" s="124"/>
      <c r="AN235" s="124"/>
      <c r="AO235" s="124"/>
      <c r="AP235" s="124"/>
      <c r="AQ235" s="124"/>
      <c r="AR235" s="124"/>
      <c r="AS235" s="124"/>
      <c r="AT235" s="124"/>
      <c r="AU235" s="124"/>
      <c r="AV235" s="124"/>
      <c r="AW235" s="124"/>
      <c r="AX235" s="124"/>
      <c r="AY235" s="124"/>
      <c r="AZ235" s="124"/>
      <c r="BA235" s="124"/>
      <c r="BB235" s="124"/>
      <c r="BC235" s="124"/>
      <c r="BD235" s="124"/>
      <c r="BE235" s="124"/>
      <c r="BF235" s="124"/>
      <c r="BG235" s="124"/>
      <c r="BH235" s="124"/>
    </row>
    <row r="236" spans="16:60" s="16" customFormat="1" x14ac:dyDescent="0.25"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  <c r="AC236" s="124"/>
      <c r="AD236" s="124"/>
      <c r="AE236" s="124"/>
      <c r="AF236" s="124"/>
      <c r="AG236" s="124"/>
      <c r="AH236" s="124"/>
      <c r="AI236" s="124"/>
      <c r="AJ236" s="124"/>
      <c r="AK236" s="124"/>
      <c r="AL236" s="124"/>
      <c r="AM236" s="124"/>
      <c r="AN236" s="124"/>
      <c r="AO236" s="124"/>
      <c r="AP236" s="124"/>
      <c r="AQ236" s="124"/>
      <c r="AR236" s="124"/>
      <c r="AS236" s="124"/>
      <c r="AT236" s="124"/>
      <c r="AU236" s="124"/>
      <c r="AV236" s="124"/>
      <c r="AW236" s="124"/>
      <c r="AX236" s="124"/>
      <c r="AY236" s="124"/>
      <c r="AZ236" s="124"/>
      <c r="BA236" s="124"/>
      <c r="BB236" s="124"/>
      <c r="BC236" s="124"/>
      <c r="BD236" s="124"/>
      <c r="BE236" s="124"/>
      <c r="BF236" s="124"/>
      <c r="BG236" s="124"/>
      <c r="BH236" s="124"/>
    </row>
    <row r="237" spans="16:60" s="16" customFormat="1" x14ac:dyDescent="0.25"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  <c r="AA237" s="124"/>
      <c r="AB237" s="124"/>
      <c r="AC237" s="124"/>
      <c r="AD237" s="124"/>
      <c r="AE237" s="124"/>
      <c r="AF237" s="124"/>
      <c r="AG237" s="124"/>
      <c r="AH237" s="124"/>
      <c r="AI237" s="124"/>
      <c r="AJ237" s="124"/>
      <c r="AK237" s="124"/>
      <c r="AL237" s="124"/>
      <c r="AM237" s="124"/>
      <c r="AN237" s="124"/>
      <c r="AO237" s="124"/>
      <c r="AP237" s="124"/>
      <c r="AQ237" s="124"/>
      <c r="AR237" s="124"/>
      <c r="AS237" s="124"/>
      <c r="AT237" s="124"/>
      <c r="AU237" s="124"/>
      <c r="AV237" s="124"/>
      <c r="AW237" s="124"/>
      <c r="AX237" s="124"/>
      <c r="AY237" s="124"/>
      <c r="AZ237" s="124"/>
      <c r="BA237" s="124"/>
      <c r="BB237" s="124"/>
      <c r="BC237" s="124"/>
      <c r="BD237" s="124"/>
      <c r="BE237" s="124"/>
      <c r="BF237" s="124"/>
      <c r="BG237" s="124"/>
      <c r="BH237" s="124"/>
    </row>
    <row r="238" spans="16:60" s="16" customFormat="1" x14ac:dyDescent="0.25"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  <c r="AA238" s="124"/>
      <c r="AB238" s="124"/>
      <c r="AC238" s="124"/>
      <c r="AD238" s="124"/>
      <c r="AE238" s="124"/>
      <c r="AF238" s="124"/>
      <c r="AG238" s="124"/>
      <c r="AH238" s="124"/>
      <c r="AI238" s="124"/>
      <c r="AJ238" s="124"/>
      <c r="AK238" s="124"/>
      <c r="AL238" s="124"/>
      <c r="AM238" s="124"/>
      <c r="AN238" s="124"/>
      <c r="AO238" s="124"/>
      <c r="AP238" s="124"/>
      <c r="AQ238" s="124"/>
      <c r="AR238" s="124"/>
      <c r="AS238" s="124"/>
      <c r="AT238" s="124"/>
      <c r="AU238" s="124"/>
      <c r="AV238" s="124"/>
      <c r="AW238" s="124"/>
      <c r="AX238" s="124"/>
      <c r="AY238" s="124"/>
      <c r="AZ238" s="124"/>
      <c r="BA238" s="124"/>
      <c r="BB238" s="124"/>
      <c r="BC238" s="124"/>
      <c r="BD238" s="124"/>
      <c r="BE238" s="124"/>
      <c r="BF238" s="124"/>
      <c r="BG238" s="124"/>
      <c r="BH238" s="124"/>
    </row>
  </sheetData>
  <mergeCells count="27">
    <mergeCell ref="B24:M24"/>
    <mergeCell ref="AN23:AQ23"/>
    <mergeCell ref="AR23:AU23"/>
    <mergeCell ref="AV23:AY23"/>
    <mergeCell ref="AZ23:BC23"/>
    <mergeCell ref="BD23:BG23"/>
    <mergeCell ref="BH23:BK23"/>
    <mergeCell ref="P23:S23"/>
    <mergeCell ref="T23:W23"/>
    <mergeCell ref="X23:AA23"/>
    <mergeCell ref="AB23:AE23"/>
    <mergeCell ref="AF23:AI23"/>
    <mergeCell ref="AJ23:AM23"/>
    <mergeCell ref="BM23:BO23"/>
    <mergeCell ref="BP23:BR23"/>
    <mergeCell ref="BS23:BU23"/>
    <mergeCell ref="BV23:BX23"/>
    <mergeCell ref="BY23:CA23"/>
    <mergeCell ref="DA23:DB23"/>
    <mergeCell ref="CQ23:CS23"/>
    <mergeCell ref="CT23:CV23"/>
    <mergeCell ref="CX23:CZ23"/>
    <mergeCell ref="CB23:CD23"/>
    <mergeCell ref="CE23:CG23"/>
    <mergeCell ref="CH23:CJ23"/>
    <mergeCell ref="CK23:CM23"/>
    <mergeCell ref="CN23:CP23"/>
  </mergeCells>
  <pageMargins left="0.7" right="0.7" top="0.75" bottom="0.75" header="0.3" footer="0.3"/>
  <pageSetup orientation="portrait" r:id="rId1"/>
  <ignoredErrors>
    <ignoredError sqref="Y33 AC3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73F5-0C3D-4430-A4D6-AFCFC66C7D4E}">
  <sheetPr codeName="Hoja3"/>
  <dimension ref="A1:M26"/>
  <sheetViews>
    <sheetView showGridLines="0" workbookViewId="0"/>
  </sheetViews>
  <sheetFormatPr baseColWidth="10" defaultColWidth="11.42578125" defaultRowHeight="12.75" x14ac:dyDescent="0.25"/>
  <cols>
    <col min="1" max="1" width="24.5703125" style="110" customWidth="1"/>
    <col min="2" max="3" width="11.28515625" style="118" customWidth="1"/>
    <col min="4" max="5" width="12.28515625" style="1" customWidth="1"/>
    <col min="6" max="6" width="11.28515625" style="110" customWidth="1"/>
    <col min="7" max="9" width="8.5703125" style="110" customWidth="1"/>
    <col min="10" max="10" width="15.42578125" style="110" bestFit="1" customWidth="1"/>
    <col min="11" max="11" width="3.28515625" style="110" customWidth="1"/>
    <col min="12" max="16384" width="11.42578125" style="110"/>
  </cols>
  <sheetData>
    <row r="1" spans="1:13" s="109" customFormat="1" ht="15.75" x14ac:dyDescent="0.25">
      <c r="A1" s="23" t="s">
        <v>40</v>
      </c>
      <c r="B1" s="108"/>
      <c r="C1" s="108"/>
      <c r="D1" s="108"/>
      <c r="E1" s="108"/>
      <c r="L1" s="185" t="s">
        <v>93</v>
      </c>
      <c r="M1" s="186">
        <v>43943</v>
      </c>
    </row>
    <row r="2" spans="1:13" x14ac:dyDescent="0.25">
      <c r="A2" s="14" t="s">
        <v>80</v>
      </c>
      <c r="B2" s="1"/>
      <c r="C2" s="1"/>
      <c r="L2" s="187" t="s">
        <v>94</v>
      </c>
      <c r="M2" s="186">
        <v>44078</v>
      </c>
    </row>
    <row r="3" spans="1:13" x14ac:dyDescent="0.25">
      <c r="A3" s="14"/>
      <c r="B3" s="1"/>
      <c r="C3" s="1"/>
      <c r="L3" s="187"/>
      <c r="M3" s="186"/>
    </row>
    <row r="4" spans="1:13" ht="20.25" customHeight="1" x14ac:dyDescent="0.25">
      <c r="A4" s="295" t="s">
        <v>41</v>
      </c>
      <c r="B4" s="295" t="s">
        <v>142</v>
      </c>
      <c r="C4" s="295" t="s">
        <v>143</v>
      </c>
      <c r="D4" s="295" t="s">
        <v>42</v>
      </c>
      <c r="E4" s="295" t="s">
        <v>43</v>
      </c>
      <c r="F4" s="295" t="s">
        <v>44</v>
      </c>
      <c r="G4" s="296" t="s">
        <v>92</v>
      </c>
      <c r="H4" s="296"/>
      <c r="I4" s="296"/>
      <c r="J4" s="295" t="s">
        <v>85</v>
      </c>
      <c r="L4" s="187"/>
      <c r="M4" s="187"/>
    </row>
    <row r="5" spans="1:13" ht="25.5" x14ac:dyDescent="0.25">
      <c r="A5" s="295"/>
      <c r="B5" s="295"/>
      <c r="C5" s="295"/>
      <c r="D5" s="295"/>
      <c r="E5" s="295"/>
      <c r="F5" s="295"/>
      <c r="G5" s="18" t="s">
        <v>125</v>
      </c>
      <c r="H5" s="18" t="s">
        <v>89</v>
      </c>
      <c r="I5" s="18" t="s">
        <v>126</v>
      </c>
      <c r="J5" s="295"/>
      <c r="L5" s="187"/>
      <c r="M5" s="187"/>
    </row>
    <row r="6" spans="1:13" x14ac:dyDescent="0.2">
      <c r="A6" s="86" t="s">
        <v>45</v>
      </c>
      <c r="B6" s="280" t="s">
        <v>22</v>
      </c>
      <c r="C6" s="86">
        <v>1750</v>
      </c>
      <c r="D6" s="111">
        <v>4.6249999999999999E-2</v>
      </c>
      <c r="E6" s="112">
        <v>43841</v>
      </c>
      <c r="F6" s="112" t="s">
        <v>0</v>
      </c>
      <c r="G6" s="188">
        <f>+H6+I6</f>
        <v>2.9934027777777779</v>
      </c>
      <c r="H6" s="188">
        <f>100*DAYS360(E6,$M$1)*(D6/2)/180</f>
        <v>1.2975694444444446</v>
      </c>
      <c r="I6" s="188">
        <f>100*DAYS360($M$1,$M$2)*(D6/2)/180</f>
        <v>1.6958333333333333</v>
      </c>
      <c r="J6" s="113">
        <f>+C6*G6/100</f>
        <v>52.384548611111114</v>
      </c>
    </row>
    <row r="7" spans="1:13" x14ac:dyDescent="0.2">
      <c r="A7" s="86" t="s">
        <v>46</v>
      </c>
      <c r="B7" s="280" t="s">
        <v>22</v>
      </c>
      <c r="C7" s="86">
        <v>3250</v>
      </c>
      <c r="D7" s="111">
        <v>5.6250000000000001E-2</v>
      </c>
      <c r="E7" s="112">
        <v>43856</v>
      </c>
      <c r="F7" s="112" t="s">
        <v>0</v>
      </c>
      <c r="G7" s="188">
        <f t="shared" ref="G7:G26" si="0">+H7+I7</f>
        <v>3.40625</v>
      </c>
      <c r="H7" s="188">
        <f t="shared" ref="H7:H26" si="1">100*DAYS360(E7,$M$1)*(D7/2)/180</f>
        <v>1.34375</v>
      </c>
      <c r="I7" s="188">
        <f t="shared" ref="I7:I26" si="2">100*DAYS360($M$1,$M$2)*(D7/2)/180</f>
        <v>2.0625</v>
      </c>
      <c r="J7" s="113">
        <f t="shared" ref="J7:J26" si="3">+C7*G7/100</f>
        <v>110.703125</v>
      </c>
    </row>
    <row r="8" spans="1:13" x14ac:dyDescent="0.2">
      <c r="A8" s="86" t="s">
        <v>47</v>
      </c>
      <c r="B8" s="280" t="s">
        <v>22</v>
      </c>
      <c r="C8" s="86">
        <v>4250</v>
      </c>
      <c r="D8" s="111">
        <v>5.8749999999999997E-2</v>
      </c>
      <c r="E8" s="112">
        <v>43841</v>
      </c>
      <c r="F8" s="112" t="s">
        <v>0</v>
      </c>
      <c r="G8" s="188">
        <f t="shared" si="0"/>
        <v>3.8024305555555555</v>
      </c>
      <c r="H8" s="188">
        <f t="shared" si="1"/>
        <v>1.648263888888889</v>
      </c>
      <c r="I8" s="188">
        <f t="shared" si="2"/>
        <v>2.1541666666666668</v>
      </c>
      <c r="J8" s="113">
        <f t="shared" si="3"/>
        <v>161.60329861111111</v>
      </c>
    </row>
    <row r="9" spans="1:13" x14ac:dyDescent="0.2">
      <c r="A9" s="86" t="s">
        <v>48</v>
      </c>
      <c r="B9" s="280" t="s">
        <v>22</v>
      </c>
      <c r="C9" s="86">
        <v>965</v>
      </c>
      <c r="D9" s="111">
        <v>6.6250000000000003E-2</v>
      </c>
      <c r="E9" s="112">
        <v>43836</v>
      </c>
      <c r="F9" s="112" t="s">
        <v>0</v>
      </c>
      <c r="G9" s="188">
        <f t="shared" si="0"/>
        <v>4.3798611111111114</v>
      </c>
      <c r="H9" s="188">
        <f t="shared" si="1"/>
        <v>1.9506944444444445</v>
      </c>
      <c r="I9" s="188">
        <f t="shared" si="2"/>
        <v>2.4291666666666667</v>
      </c>
      <c r="J9" s="113">
        <f t="shared" si="3"/>
        <v>42.265659722222225</v>
      </c>
    </row>
    <row r="10" spans="1:13" x14ac:dyDescent="0.2">
      <c r="A10" s="86" t="s">
        <v>49</v>
      </c>
      <c r="B10" s="280" t="s">
        <v>22</v>
      </c>
      <c r="C10" s="86">
        <v>3000</v>
      </c>
      <c r="D10" s="111">
        <v>6.8750000000000006E-2</v>
      </c>
      <c r="E10" s="112">
        <v>43841</v>
      </c>
      <c r="F10" s="112" t="s">
        <v>0</v>
      </c>
      <c r="G10" s="188">
        <f t="shared" si="0"/>
        <v>4.4496527777777777</v>
      </c>
      <c r="H10" s="188">
        <f t="shared" si="1"/>
        <v>1.9288194444444444</v>
      </c>
      <c r="I10" s="188">
        <f t="shared" si="2"/>
        <v>2.5208333333333335</v>
      </c>
      <c r="J10" s="113">
        <f t="shared" si="3"/>
        <v>133.48958333333334</v>
      </c>
    </row>
    <row r="11" spans="1:13" x14ac:dyDescent="0.2">
      <c r="A11" s="86" t="s">
        <v>50</v>
      </c>
      <c r="B11" s="280" t="s">
        <v>22</v>
      </c>
      <c r="C11" s="86">
        <v>4484</v>
      </c>
      <c r="D11" s="111">
        <v>6.8750000000000006E-2</v>
      </c>
      <c r="E11" s="112">
        <v>43760</v>
      </c>
      <c r="F11" s="112" t="s">
        <v>0</v>
      </c>
      <c r="G11" s="188">
        <f t="shared" si="0"/>
        <v>5.9583333333333339</v>
      </c>
      <c r="H11" s="188">
        <f t="shared" si="1"/>
        <v>3.4375</v>
      </c>
      <c r="I11" s="188">
        <f t="shared" si="2"/>
        <v>2.5208333333333335</v>
      </c>
      <c r="J11" s="113">
        <f t="shared" si="3"/>
        <v>267.17166666666668</v>
      </c>
    </row>
    <row r="12" spans="1:13" x14ac:dyDescent="0.2">
      <c r="A12" s="86" t="s">
        <v>51</v>
      </c>
      <c r="B12" s="280" t="s">
        <v>22</v>
      </c>
      <c r="C12" s="86">
        <v>3750</v>
      </c>
      <c r="D12" s="111">
        <v>6.8750000000000006E-2</v>
      </c>
      <c r="E12" s="112">
        <v>43856</v>
      </c>
      <c r="F12" s="112" t="s">
        <v>0</v>
      </c>
      <c r="G12" s="188">
        <f t="shared" si="0"/>
        <v>4.1631944444444446</v>
      </c>
      <c r="H12" s="188">
        <f t="shared" si="1"/>
        <v>1.6423611111111112</v>
      </c>
      <c r="I12" s="188">
        <f t="shared" si="2"/>
        <v>2.5208333333333335</v>
      </c>
      <c r="J12" s="113">
        <f t="shared" si="3"/>
        <v>156.11979166666669</v>
      </c>
    </row>
    <row r="13" spans="1:13" x14ac:dyDescent="0.2">
      <c r="A13" s="86" t="s">
        <v>52</v>
      </c>
      <c r="B13" s="280" t="s">
        <v>22</v>
      </c>
      <c r="C13" s="86">
        <v>1727</v>
      </c>
      <c r="D13" s="111">
        <v>7.1249999999999994E-2</v>
      </c>
      <c r="E13" s="112">
        <v>43836</v>
      </c>
      <c r="F13" s="112" t="s">
        <v>0</v>
      </c>
      <c r="G13" s="188">
        <f t="shared" si="0"/>
        <v>4.7104166666666663</v>
      </c>
      <c r="H13" s="188">
        <f t="shared" si="1"/>
        <v>2.0979166666666664</v>
      </c>
      <c r="I13" s="188">
        <f t="shared" si="2"/>
        <v>2.6124999999999998</v>
      </c>
      <c r="J13" s="113">
        <f t="shared" si="3"/>
        <v>81.34889583333333</v>
      </c>
    </row>
    <row r="14" spans="1:13" x14ac:dyDescent="0.2">
      <c r="A14" s="86" t="s">
        <v>53</v>
      </c>
      <c r="B14" s="280" t="s">
        <v>22</v>
      </c>
      <c r="C14" s="86">
        <v>2689.277</v>
      </c>
      <c r="D14" s="111">
        <v>7.1249999999999994E-2</v>
      </c>
      <c r="E14" s="112">
        <v>43827</v>
      </c>
      <c r="F14" s="112" t="s">
        <v>0</v>
      </c>
      <c r="G14" s="188">
        <f t="shared" si="0"/>
        <v>4.8687499999999995</v>
      </c>
      <c r="H14" s="188">
        <f t="shared" si="1"/>
        <v>2.2562499999999996</v>
      </c>
      <c r="I14" s="188">
        <f t="shared" si="2"/>
        <v>2.6124999999999998</v>
      </c>
      <c r="J14" s="113">
        <f t="shared" si="3"/>
        <v>130.93417393749999</v>
      </c>
    </row>
    <row r="15" spans="1:13" x14ac:dyDescent="0.2">
      <c r="A15" s="86" t="s">
        <v>54</v>
      </c>
      <c r="B15" s="280" t="s">
        <v>22</v>
      </c>
      <c r="C15" s="86">
        <v>6454.85</v>
      </c>
      <c r="D15" s="111">
        <v>7.4999999999999997E-2</v>
      </c>
      <c r="E15" s="112">
        <v>43760</v>
      </c>
      <c r="F15" s="112" t="s">
        <v>0</v>
      </c>
      <c r="G15" s="188">
        <f t="shared" si="0"/>
        <v>6.5</v>
      </c>
      <c r="H15" s="188">
        <f t="shared" si="1"/>
        <v>3.75</v>
      </c>
      <c r="I15" s="188">
        <f t="shared" si="2"/>
        <v>2.75</v>
      </c>
      <c r="J15" s="113">
        <f t="shared" si="3"/>
        <v>419.56524999999999</v>
      </c>
    </row>
    <row r="16" spans="1:13" x14ac:dyDescent="0.2">
      <c r="A16" s="86" t="s">
        <v>55</v>
      </c>
      <c r="B16" s="280" t="s">
        <v>22</v>
      </c>
      <c r="C16" s="86">
        <v>2617.6849999999999</v>
      </c>
      <c r="D16" s="111">
        <v>7.6249999999999998E-2</v>
      </c>
      <c r="E16" s="112">
        <v>43760</v>
      </c>
      <c r="F16" s="112" t="s">
        <v>0</v>
      </c>
      <c r="G16" s="188">
        <f t="shared" si="0"/>
        <v>6.6083333333333334</v>
      </c>
      <c r="H16" s="188">
        <f t="shared" si="1"/>
        <v>3.8125</v>
      </c>
      <c r="I16" s="188">
        <f t="shared" si="2"/>
        <v>2.7958333333333334</v>
      </c>
      <c r="J16" s="113">
        <f t="shared" si="3"/>
        <v>172.98535041666665</v>
      </c>
    </row>
    <row r="17" spans="1:10" x14ac:dyDescent="0.2">
      <c r="A17" s="86" t="s">
        <v>56</v>
      </c>
      <c r="B17" s="280" t="s">
        <v>13</v>
      </c>
      <c r="C17" s="86">
        <v>1000</v>
      </c>
      <c r="D17" s="111">
        <v>3.3750000000000002E-2</v>
      </c>
      <c r="E17" s="112">
        <v>43845</v>
      </c>
      <c r="F17" s="112" t="s">
        <v>16</v>
      </c>
      <c r="G17" s="188">
        <f t="shared" si="0"/>
        <v>2.1468750000000005</v>
      </c>
      <c r="H17" s="188">
        <f t="shared" si="1"/>
        <v>0.90937500000000004</v>
      </c>
      <c r="I17" s="188">
        <f t="shared" si="2"/>
        <v>1.2375000000000003</v>
      </c>
      <c r="J17" s="113">
        <f t="shared" si="3"/>
        <v>21.468750000000004</v>
      </c>
    </row>
    <row r="18" spans="1:10" x14ac:dyDescent="0.2">
      <c r="A18" s="86" t="s">
        <v>57</v>
      </c>
      <c r="B18" s="280" t="s">
        <v>13</v>
      </c>
      <c r="C18" s="86">
        <v>1250</v>
      </c>
      <c r="D18" s="111">
        <v>3.875E-2</v>
      </c>
      <c r="E18" s="112">
        <v>43845</v>
      </c>
      <c r="F18" s="112" t="s">
        <v>16</v>
      </c>
      <c r="G18" s="188">
        <f t="shared" si="0"/>
        <v>2.4649305555555556</v>
      </c>
      <c r="H18" s="188">
        <f t="shared" si="1"/>
        <v>1.0440972222222222</v>
      </c>
      <c r="I18" s="188">
        <f t="shared" si="2"/>
        <v>1.4208333333333334</v>
      </c>
      <c r="J18" s="113">
        <f t="shared" si="3"/>
        <v>30.811631944444443</v>
      </c>
    </row>
    <row r="19" spans="1:10" x14ac:dyDescent="0.2">
      <c r="A19" s="86" t="s">
        <v>58</v>
      </c>
      <c r="B19" s="280" t="s">
        <v>13</v>
      </c>
      <c r="C19" s="86">
        <v>1250</v>
      </c>
      <c r="D19" s="111">
        <v>0.05</v>
      </c>
      <c r="E19" s="112">
        <v>43845</v>
      </c>
      <c r="F19" s="112" t="s">
        <v>16</v>
      </c>
      <c r="G19" s="188">
        <f t="shared" si="0"/>
        <v>3.1805555555555554</v>
      </c>
      <c r="H19" s="188">
        <f t="shared" si="1"/>
        <v>1.3472222222222223</v>
      </c>
      <c r="I19" s="188">
        <f t="shared" si="2"/>
        <v>1.8333333333333333</v>
      </c>
      <c r="J19" s="113">
        <f t="shared" si="3"/>
        <v>39.756944444444443</v>
      </c>
    </row>
    <row r="20" spans="1:10" x14ac:dyDescent="0.2">
      <c r="A20" s="86" t="s">
        <v>59</v>
      </c>
      <c r="B20" s="280" t="s">
        <v>13</v>
      </c>
      <c r="C20" s="86">
        <v>1000</v>
      </c>
      <c r="D20" s="111">
        <v>5.2499999999999998E-2</v>
      </c>
      <c r="E20" s="112">
        <v>43845</v>
      </c>
      <c r="F20" s="112" t="s">
        <v>16</v>
      </c>
      <c r="G20" s="188">
        <f t="shared" si="0"/>
        <v>3.3395833333333336</v>
      </c>
      <c r="H20" s="188">
        <f t="shared" si="1"/>
        <v>1.4145833333333333</v>
      </c>
      <c r="I20" s="188">
        <f t="shared" si="2"/>
        <v>1.925</v>
      </c>
      <c r="J20" s="113">
        <f t="shared" si="3"/>
        <v>33.395833333333336</v>
      </c>
    </row>
    <row r="21" spans="1:10" x14ac:dyDescent="0.2">
      <c r="A21" s="86" t="s">
        <v>60</v>
      </c>
      <c r="B21" s="280" t="s">
        <v>13</v>
      </c>
      <c r="C21" s="86">
        <v>750</v>
      </c>
      <c r="D21" s="111">
        <v>6.25E-2</v>
      </c>
      <c r="E21" s="112">
        <v>43778</v>
      </c>
      <c r="F21" s="112" t="s">
        <v>16</v>
      </c>
      <c r="G21" s="188">
        <f t="shared" si="0"/>
        <v>5.1215277777777777</v>
      </c>
      <c r="H21" s="188">
        <f t="shared" si="1"/>
        <v>2.8298611111111112</v>
      </c>
      <c r="I21" s="188">
        <f t="shared" si="2"/>
        <v>2.2916666666666665</v>
      </c>
      <c r="J21" s="113">
        <f t="shared" si="3"/>
        <v>38.411458333333336</v>
      </c>
    </row>
    <row r="22" spans="1:10" x14ac:dyDescent="0.2">
      <c r="A22" s="86" t="s">
        <v>61</v>
      </c>
      <c r="B22" s="280" t="s">
        <v>15</v>
      </c>
      <c r="C22" s="86">
        <v>400</v>
      </c>
      <c r="D22" s="111">
        <v>3.3750000000000002E-2</v>
      </c>
      <c r="E22" s="112">
        <v>43750</v>
      </c>
      <c r="F22" s="112" t="s">
        <v>16</v>
      </c>
      <c r="G22" s="188">
        <f t="shared" si="0"/>
        <v>3.0187500000000003</v>
      </c>
      <c r="H22" s="188">
        <f t="shared" si="1"/>
        <v>1.78125</v>
      </c>
      <c r="I22" s="188">
        <f t="shared" si="2"/>
        <v>1.2375000000000003</v>
      </c>
      <c r="J22" s="113">
        <f t="shared" si="3"/>
        <v>12.074999999999999</v>
      </c>
    </row>
    <row r="23" spans="1:10" x14ac:dyDescent="0.2">
      <c r="A23" s="86" t="s">
        <v>62</v>
      </c>
      <c r="B23" s="280" t="s">
        <v>13</v>
      </c>
      <c r="C23" s="86">
        <v>5769.0548710000003</v>
      </c>
      <c r="D23" s="111">
        <v>7.8200000000000006E-2</v>
      </c>
      <c r="E23" s="112">
        <v>43830</v>
      </c>
      <c r="F23" s="112" t="s">
        <v>0</v>
      </c>
      <c r="G23" s="188">
        <f t="shared" si="0"/>
        <v>5.3002222222222226</v>
      </c>
      <c r="H23" s="188">
        <f t="shared" si="1"/>
        <v>2.4328888888888889</v>
      </c>
      <c r="I23" s="188">
        <f t="shared" si="2"/>
        <v>2.8673333333333333</v>
      </c>
      <c r="J23" s="113">
        <f t="shared" si="3"/>
        <v>305.77272828493557</v>
      </c>
    </row>
    <row r="24" spans="1:10" x14ac:dyDescent="0.2">
      <c r="A24" s="86" t="s">
        <v>63</v>
      </c>
      <c r="B24" s="280" t="s">
        <v>22</v>
      </c>
      <c r="C24" s="86">
        <v>5092.461284</v>
      </c>
      <c r="D24" s="111">
        <v>8.2799999999999999E-2</v>
      </c>
      <c r="E24" s="112">
        <v>43830</v>
      </c>
      <c r="F24" s="112" t="s">
        <v>0</v>
      </c>
      <c r="G24" s="188">
        <f t="shared" si="0"/>
        <v>5.6120000000000001</v>
      </c>
      <c r="H24" s="188">
        <f t="shared" si="1"/>
        <v>2.5760000000000001</v>
      </c>
      <c r="I24" s="188">
        <f t="shared" si="2"/>
        <v>3.036</v>
      </c>
      <c r="J24" s="113">
        <f t="shared" si="3"/>
        <v>285.78892725807998</v>
      </c>
    </row>
    <row r="25" spans="1:10" x14ac:dyDescent="0.2">
      <c r="A25" s="86" t="s">
        <v>64</v>
      </c>
      <c r="B25" s="280" t="s">
        <v>13</v>
      </c>
      <c r="C25" s="86">
        <v>6473.2230979999995</v>
      </c>
      <c r="D25" s="111">
        <v>3.3799999999999997E-2</v>
      </c>
      <c r="E25" s="112">
        <v>43921</v>
      </c>
      <c r="F25" s="112" t="s">
        <v>0</v>
      </c>
      <c r="G25" s="188">
        <f t="shared" si="0"/>
        <v>1.4458888888888888</v>
      </c>
      <c r="H25" s="188">
        <f t="shared" si="1"/>
        <v>0.20655555555555555</v>
      </c>
      <c r="I25" s="188">
        <f t="shared" si="2"/>
        <v>1.2393333333333332</v>
      </c>
      <c r="J25" s="113">
        <f t="shared" si="3"/>
        <v>93.595613526971107</v>
      </c>
    </row>
    <row r="26" spans="1:10" x14ac:dyDescent="0.2">
      <c r="A26" s="114" t="s">
        <v>65</v>
      </c>
      <c r="B26" s="281" t="s">
        <v>22</v>
      </c>
      <c r="C26" s="114">
        <v>5033.5991210000002</v>
      </c>
      <c r="D26" s="115">
        <v>3.7499999999999999E-2</v>
      </c>
      <c r="E26" s="116">
        <v>43921</v>
      </c>
      <c r="F26" s="116" t="s">
        <v>0</v>
      </c>
      <c r="G26" s="189">
        <f t="shared" si="0"/>
        <v>1.6041666666666667</v>
      </c>
      <c r="H26" s="189">
        <f t="shared" si="1"/>
        <v>0.22916666666666666</v>
      </c>
      <c r="I26" s="189">
        <f t="shared" si="2"/>
        <v>1.375</v>
      </c>
      <c r="J26" s="117">
        <f t="shared" si="3"/>
        <v>80.747319232708335</v>
      </c>
    </row>
  </sheetData>
  <mergeCells count="8">
    <mergeCell ref="J4:J5"/>
    <mergeCell ref="G4:I4"/>
    <mergeCell ref="A4:A5"/>
    <mergeCell ref="C4:C5"/>
    <mergeCell ref="D4:D5"/>
    <mergeCell ref="E4:E5"/>
    <mergeCell ref="F4:F5"/>
    <mergeCell ref="B4:B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EC5B-BC8C-4008-8957-D6D043A527E3}">
  <sheetPr codeName="Hoja11"/>
  <dimension ref="A1:U36"/>
  <sheetViews>
    <sheetView showGridLines="0" zoomScaleNormal="100" workbookViewId="0"/>
  </sheetViews>
  <sheetFormatPr baseColWidth="10" defaultColWidth="11.42578125" defaultRowHeight="12.75" x14ac:dyDescent="0.2"/>
  <cols>
    <col min="1" max="2" width="11.42578125" style="2"/>
    <col min="3" max="3" width="19" style="2" bestFit="1" customWidth="1"/>
    <col min="4" max="5" width="13" style="2" customWidth="1"/>
    <col min="6" max="7" width="10.5703125" style="2" customWidth="1"/>
    <col min="8" max="8" width="10.5703125" style="2" bestFit="1" customWidth="1"/>
    <col min="9" max="17" width="11.140625" style="2" customWidth="1"/>
    <col min="18" max="19" width="16.42578125" style="2" customWidth="1"/>
    <col min="20" max="20" width="15.5703125" style="2" bestFit="1" customWidth="1"/>
    <col min="21" max="21" width="13.5703125" style="2" bestFit="1" customWidth="1"/>
    <col min="22" max="16384" width="11.42578125" style="2"/>
  </cols>
  <sheetData>
    <row r="1" spans="1:20" s="55" customFormat="1" ht="15.75" x14ac:dyDescent="0.25">
      <c r="A1" s="23" t="s">
        <v>144</v>
      </c>
      <c r="S1" s="203" t="s">
        <v>86</v>
      </c>
      <c r="T1" s="205">
        <v>44046</v>
      </c>
    </row>
    <row r="2" spans="1:20" x14ac:dyDescent="0.2">
      <c r="A2" s="14" t="s">
        <v>81</v>
      </c>
      <c r="I2" s="3"/>
      <c r="J2" s="4"/>
      <c r="K2" s="4"/>
      <c r="S2" s="203" t="s">
        <v>13</v>
      </c>
      <c r="T2" s="204">
        <v>0.85029999999999994</v>
      </c>
    </row>
    <row r="3" spans="1:20" s="5" customFormat="1" ht="20.25" customHeight="1" x14ac:dyDescent="0.25">
      <c r="E3" s="6"/>
      <c r="G3" s="206"/>
      <c r="H3" s="314" t="s">
        <v>66</v>
      </c>
      <c r="I3" s="315"/>
      <c r="J3" s="315"/>
      <c r="K3" s="315"/>
      <c r="L3" s="315"/>
      <c r="M3" s="315"/>
      <c r="N3" s="315"/>
      <c r="O3" s="315"/>
      <c r="P3" s="315"/>
      <c r="Q3" s="316"/>
      <c r="R3" s="24"/>
      <c r="S3" s="203" t="s">
        <v>15</v>
      </c>
      <c r="T3" s="204">
        <v>0.91769999999999996</v>
      </c>
    </row>
    <row r="4" spans="1:20" s="24" customFormat="1" ht="20.25" customHeight="1" x14ac:dyDescent="0.25">
      <c r="E4" s="25"/>
      <c r="F4" s="26"/>
      <c r="G4" s="26"/>
      <c r="H4" s="26">
        <v>0.97</v>
      </c>
      <c r="I4" s="26">
        <v>0.97</v>
      </c>
      <c r="J4" s="26">
        <v>1</v>
      </c>
      <c r="K4" s="26">
        <v>1</v>
      </c>
      <c r="L4" s="26">
        <v>0.97</v>
      </c>
      <c r="M4" s="26">
        <v>0.97</v>
      </c>
      <c r="N4" s="26">
        <v>0.97</v>
      </c>
      <c r="O4" s="26">
        <v>1</v>
      </c>
      <c r="P4" s="26">
        <v>1</v>
      </c>
      <c r="Q4" s="26">
        <v>0.97</v>
      </c>
      <c r="T4" s="282"/>
    </row>
    <row r="5" spans="1:20" s="24" customFormat="1" ht="27" customHeight="1" x14ac:dyDescent="0.25">
      <c r="A5" s="18" t="s">
        <v>87</v>
      </c>
      <c r="B5" s="18" t="s">
        <v>21</v>
      </c>
      <c r="C5" s="18" t="s">
        <v>127</v>
      </c>
      <c r="D5" s="18" t="s">
        <v>139</v>
      </c>
      <c r="E5" s="18" t="s">
        <v>128</v>
      </c>
      <c r="F5" s="18" t="s">
        <v>98</v>
      </c>
      <c r="G5" s="27" t="s">
        <v>99</v>
      </c>
      <c r="H5" s="27" t="s">
        <v>1</v>
      </c>
      <c r="I5" s="27" t="s">
        <v>2</v>
      </c>
      <c r="J5" s="27" t="s">
        <v>3</v>
      </c>
      <c r="K5" s="27" t="s">
        <v>4</v>
      </c>
      <c r="L5" s="27" t="s">
        <v>5</v>
      </c>
      <c r="M5" s="27" t="s">
        <v>6</v>
      </c>
      <c r="N5" s="27" t="s">
        <v>7</v>
      </c>
      <c r="O5" s="28" t="s">
        <v>8</v>
      </c>
      <c r="P5" s="27" t="s">
        <v>9</v>
      </c>
      <c r="Q5" s="27" t="s">
        <v>10</v>
      </c>
      <c r="R5" s="18" t="s">
        <v>67</v>
      </c>
      <c r="S5" s="18" t="s">
        <v>68</v>
      </c>
      <c r="T5" s="18" t="s">
        <v>69</v>
      </c>
    </row>
    <row r="6" spans="1:20" s="21" customFormat="1" x14ac:dyDescent="0.2">
      <c r="A6" s="57">
        <v>1</v>
      </c>
      <c r="B6" s="57" t="s">
        <v>22</v>
      </c>
      <c r="C6" s="58" t="s">
        <v>50</v>
      </c>
      <c r="D6" s="59">
        <f>+VLOOKUP(C6,'Intereses corridos'!$A$6:$C$26,3,FALSE)</f>
        <v>4484</v>
      </c>
      <c r="E6" s="59">
        <f>+VLOOKUP(C6,'Intereses corridos'!$A$6:$J$26,10,FALSE)</f>
        <v>267.17166666666668</v>
      </c>
      <c r="F6" s="179">
        <f>+E6</f>
        <v>267.17166666666668</v>
      </c>
      <c r="G6" s="179"/>
      <c r="H6" s="60">
        <f>+D6*H$4</f>
        <v>4349.4799999999996</v>
      </c>
      <c r="I6" s="84"/>
      <c r="J6" s="61"/>
      <c r="K6" s="61"/>
      <c r="L6" s="62"/>
      <c r="M6" s="63"/>
      <c r="N6" s="61"/>
      <c r="O6" s="61"/>
      <c r="P6" s="61"/>
      <c r="Q6" s="64"/>
      <c r="R6" s="65">
        <f>+SUM(H6:L6)+F6</f>
        <v>4616.6516666666666</v>
      </c>
      <c r="S6" s="59">
        <f>+R6</f>
        <v>4616.6516666666666</v>
      </c>
      <c r="T6" s="59">
        <f>+SUM(H6:Q6)</f>
        <v>4349.4799999999996</v>
      </c>
    </row>
    <row r="7" spans="1:20" s="21" customFormat="1" x14ac:dyDescent="0.2">
      <c r="A7" s="66">
        <v>1</v>
      </c>
      <c r="B7" s="66" t="s">
        <v>22</v>
      </c>
      <c r="C7" s="67" t="s">
        <v>46</v>
      </c>
      <c r="D7" s="68">
        <f>+VLOOKUP(C7,'Intereses corridos'!$A$6:$C$26,3,FALSE)</f>
        <v>3250</v>
      </c>
      <c r="E7" s="68">
        <f>+VLOOKUP(C7,'Intereses corridos'!$A$6:$J$26,10,FALSE)</f>
        <v>110.703125</v>
      </c>
      <c r="F7" s="36">
        <f t="shared" ref="F7:F8" si="0">+E7</f>
        <v>110.703125</v>
      </c>
      <c r="G7" s="36"/>
      <c r="H7" s="69">
        <f t="shared" ref="H7:H8" si="1">+D7*H$4</f>
        <v>3152.5</v>
      </c>
      <c r="I7" s="85"/>
      <c r="J7" s="70"/>
      <c r="K7" s="70"/>
      <c r="L7" s="71"/>
      <c r="M7" s="72"/>
      <c r="N7" s="70"/>
      <c r="O7" s="70"/>
      <c r="P7" s="70"/>
      <c r="Q7" s="73"/>
      <c r="R7" s="74">
        <f t="shared" ref="R7:R8" si="2">+SUM(H7:L7)+F7</f>
        <v>3263.203125</v>
      </c>
      <c r="S7" s="68">
        <f t="shared" ref="S7:S8" si="3">+R7</f>
        <v>3263.203125</v>
      </c>
      <c r="T7" s="68">
        <f t="shared" ref="T7:T26" si="4">+SUM(H7:Q7)</f>
        <v>3152.5</v>
      </c>
    </row>
    <row r="8" spans="1:20" s="21" customFormat="1" x14ac:dyDescent="0.2">
      <c r="A8" s="66">
        <v>1</v>
      </c>
      <c r="B8" s="66" t="s">
        <v>22</v>
      </c>
      <c r="C8" s="67" t="s">
        <v>45</v>
      </c>
      <c r="D8" s="68">
        <f>+VLOOKUP(C8,'Intereses corridos'!$A$6:$C$26,3,FALSE)</f>
        <v>1750</v>
      </c>
      <c r="E8" s="68">
        <f>+VLOOKUP(C8,'Intereses corridos'!$A$6:$J$26,10,FALSE)</f>
        <v>52.384548611111114</v>
      </c>
      <c r="F8" s="36">
        <f t="shared" si="0"/>
        <v>52.384548611111114</v>
      </c>
      <c r="G8" s="36"/>
      <c r="H8" s="69">
        <f t="shared" si="1"/>
        <v>1697.5</v>
      </c>
      <c r="I8" s="85"/>
      <c r="J8" s="70"/>
      <c r="K8" s="70"/>
      <c r="L8" s="71"/>
      <c r="M8" s="72"/>
      <c r="N8" s="70"/>
      <c r="O8" s="70"/>
      <c r="P8" s="70"/>
      <c r="Q8" s="73"/>
      <c r="R8" s="74">
        <f t="shared" si="2"/>
        <v>1749.8845486111111</v>
      </c>
      <c r="S8" s="68">
        <f t="shared" si="3"/>
        <v>1749.8845486111111</v>
      </c>
      <c r="T8" s="68">
        <f t="shared" si="4"/>
        <v>1697.5</v>
      </c>
    </row>
    <row r="9" spans="1:20" s="21" customFormat="1" x14ac:dyDescent="0.2">
      <c r="A9" s="66">
        <v>1</v>
      </c>
      <c r="B9" s="66" t="s">
        <v>15</v>
      </c>
      <c r="C9" s="67" t="s">
        <v>61</v>
      </c>
      <c r="D9" s="68">
        <f>+VLOOKUP(C9,'Intereses corridos'!$A$6:$C$26,3,FALSE)</f>
        <v>400</v>
      </c>
      <c r="E9" s="68">
        <f>+VLOOKUP(C9,'Intereses corridos'!$A$6:$J$26,10,FALSE)</f>
        <v>12.074999999999999</v>
      </c>
      <c r="F9" s="36"/>
      <c r="G9" s="36">
        <f>+E9*T2/T3</f>
        <v>11.188157894736841</v>
      </c>
      <c r="H9" s="72"/>
      <c r="I9" s="70"/>
      <c r="J9" s="70"/>
      <c r="K9" s="70"/>
      <c r="L9" s="73"/>
      <c r="M9" s="69">
        <f>+D9*M4*T2/T3</f>
        <v>359.50354146235151</v>
      </c>
      <c r="N9" s="85"/>
      <c r="O9" s="70"/>
      <c r="P9" s="70"/>
      <c r="Q9" s="71"/>
      <c r="R9" s="74">
        <f>+G9+SUM(M9:Q9)</f>
        <v>370.69169935708834</v>
      </c>
      <c r="S9" s="68">
        <f>+R9/$T$2</f>
        <v>435.95401547346626</v>
      </c>
      <c r="T9" s="68">
        <f t="shared" si="4"/>
        <v>359.50354146235151</v>
      </c>
    </row>
    <row r="10" spans="1:20" s="21" customFormat="1" x14ac:dyDescent="0.2">
      <c r="A10" s="66">
        <v>1</v>
      </c>
      <c r="B10" s="66" t="s">
        <v>13</v>
      </c>
      <c r="C10" s="67" t="s">
        <v>57</v>
      </c>
      <c r="D10" s="68">
        <f>+VLOOKUP(C10,'Intereses corridos'!$A$6:$C$26,3,FALSE)</f>
        <v>1250</v>
      </c>
      <c r="E10" s="68">
        <f>+VLOOKUP(C10,'Intereses corridos'!$A$6:$J$26,10,FALSE)</f>
        <v>30.811631944444443</v>
      </c>
      <c r="F10" s="36"/>
      <c r="G10" s="36">
        <f>+E10</f>
        <v>30.811631944444443</v>
      </c>
      <c r="H10" s="72"/>
      <c r="I10" s="70"/>
      <c r="J10" s="70"/>
      <c r="K10" s="70"/>
      <c r="L10" s="73"/>
      <c r="M10" s="69">
        <f>+D10*M$4</f>
        <v>1212.5</v>
      </c>
      <c r="N10" s="85"/>
      <c r="O10" s="70"/>
      <c r="P10" s="70"/>
      <c r="Q10" s="71"/>
      <c r="R10" s="74">
        <f t="shared" ref="R10:R11" si="5">+G10+SUM(M10:Q10)</f>
        <v>1243.3116319444443</v>
      </c>
      <c r="S10" s="68">
        <f t="shared" ref="S10:S11" si="6">+R10/$T$2</f>
        <v>1462.2034951716387</v>
      </c>
      <c r="T10" s="68">
        <f t="shared" si="4"/>
        <v>1212.5</v>
      </c>
    </row>
    <row r="11" spans="1:20" s="21" customFormat="1" x14ac:dyDescent="0.2">
      <c r="A11" s="75">
        <v>1</v>
      </c>
      <c r="B11" s="75" t="s">
        <v>13</v>
      </c>
      <c r="C11" s="76" t="s">
        <v>56</v>
      </c>
      <c r="D11" s="77">
        <f>+VLOOKUP(C11,'Intereses corridos'!$A$6:$C$26,3,FALSE)</f>
        <v>1000</v>
      </c>
      <c r="E11" s="77">
        <f>+VLOOKUP(C11,'Intereses corridos'!$A$6:$J$26,10,FALSE)</f>
        <v>21.468750000000004</v>
      </c>
      <c r="F11" s="180"/>
      <c r="G11" s="180">
        <f>+E11</f>
        <v>21.468750000000004</v>
      </c>
      <c r="H11" s="78"/>
      <c r="I11" s="79"/>
      <c r="J11" s="79"/>
      <c r="K11" s="79"/>
      <c r="L11" s="80"/>
      <c r="M11" s="81">
        <f>+D11*M$4</f>
        <v>970</v>
      </c>
      <c r="N11" s="88"/>
      <c r="O11" s="79"/>
      <c r="P11" s="79"/>
      <c r="Q11" s="82"/>
      <c r="R11" s="83">
        <f t="shared" si="5"/>
        <v>991.46875</v>
      </c>
      <c r="S11" s="77">
        <f t="shared" si="6"/>
        <v>1166.0222862519111</v>
      </c>
      <c r="T11" s="77">
        <f t="shared" si="4"/>
        <v>970</v>
      </c>
    </row>
    <row r="12" spans="1:20" s="21" customFormat="1" x14ac:dyDescent="0.2">
      <c r="A12" s="57">
        <v>2</v>
      </c>
      <c r="B12" s="57" t="s">
        <v>22</v>
      </c>
      <c r="C12" s="58" t="s">
        <v>54</v>
      </c>
      <c r="D12" s="59">
        <f>+VLOOKUP(C12,'Intereses corridos'!$A$6:$C$26,3,FALSE)</f>
        <v>6454.85</v>
      </c>
      <c r="E12" s="59">
        <f>+VLOOKUP(C12,'Intereses corridos'!$A$6:$J$26,10,FALSE)</f>
        <v>419.56524999999999</v>
      </c>
      <c r="F12" s="179">
        <f>+E12</f>
        <v>419.56524999999999</v>
      </c>
      <c r="G12" s="179"/>
      <c r="H12" s="60">
        <f>+($H$28-SUM($H$6:$H$8))*D12/(SUM($D$12:$D$16))</f>
        <v>1731.8438384892856</v>
      </c>
      <c r="I12" s="84">
        <f>+(D12-H12/$H$4)*$I$4</f>
        <v>4529.3606615107146</v>
      </c>
      <c r="J12" s="61"/>
      <c r="K12" s="61"/>
      <c r="L12" s="62"/>
      <c r="M12" s="63"/>
      <c r="N12" s="61"/>
      <c r="O12" s="61"/>
      <c r="P12" s="61"/>
      <c r="Q12" s="64"/>
      <c r="R12" s="65">
        <f t="shared" ref="R12:R16" si="7">+SUM(H12:L12)+F12</f>
        <v>6680.7697499999995</v>
      </c>
      <c r="S12" s="59">
        <f t="shared" ref="S12:S16" si="8">+R12</f>
        <v>6680.7697499999995</v>
      </c>
      <c r="T12" s="59">
        <f t="shared" si="4"/>
        <v>6261.2044999999998</v>
      </c>
    </row>
    <row r="13" spans="1:20" s="21" customFormat="1" x14ac:dyDescent="0.2">
      <c r="A13" s="66">
        <v>2</v>
      </c>
      <c r="B13" s="66" t="s">
        <v>22</v>
      </c>
      <c r="C13" s="67" t="s">
        <v>51</v>
      </c>
      <c r="D13" s="68">
        <f>+VLOOKUP(C13,'Intereses corridos'!$A$6:$C$26,3,FALSE)</f>
        <v>3750</v>
      </c>
      <c r="E13" s="68">
        <f>+VLOOKUP(C13,'Intereses corridos'!$A$6:$J$26,10,FALSE)</f>
        <v>156.11979166666669</v>
      </c>
      <c r="F13" s="36">
        <f t="shared" ref="F13:F16" si="9">+E13</f>
        <v>156.11979166666669</v>
      </c>
      <c r="G13" s="36"/>
      <c r="H13" s="69">
        <f t="shared" ref="H13:H16" si="10">+($H$28-SUM($H$6:$H$8))*D13/(SUM($D$12:$D$16))</f>
        <v>1006.1294056925908</v>
      </c>
      <c r="I13" s="85">
        <f t="shared" ref="I13:I16" si="11">+(D13-H13/$H$4)*$I$4</f>
        <v>2631.3705943074092</v>
      </c>
      <c r="J13" s="70"/>
      <c r="K13" s="70"/>
      <c r="L13" s="71"/>
      <c r="M13" s="72"/>
      <c r="N13" s="70"/>
      <c r="O13" s="70"/>
      <c r="P13" s="70"/>
      <c r="Q13" s="73"/>
      <c r="R13" s="74">
        <f t="shared" si="7"/>
        <v>3793.6197916666665</v>
      </c>
      <c r="S13" s="68">
        <f t="shared" si="8"/>
        <v>3793.6197916666665</v>
      </c>
      <c r="T13" s="68">
        <f t="shared" si="4"/>
        <v>3637.5</v>
      </c>
    </row>
    <row r="14" spans="1:20" s="21" customFormat="1" x14ac:dyDescent="0.2">
      <c r="A14" s="66">
        <v>2</v>
      </c>
      <c r="B14" s="66" t="s">
        <v>22</v>
      </c>
      <c r="C14" s="67" t="s">
        <v>47</v>
      </c>
      <c r="D14" s="68">
        <f>+VLOOKUP(C14,'Intereses corridos'!$A$6:$C$26,3,FALSE)</f>
        <v>4250</v>
      </c>
      <c r="E14" s="68">
        <f>+VLOOKUP(C14,'Intereses corridos'!$A$6:$J$26,10,FALSE)</f>
        <v>161.60329861111111</v>
      </c>
      <c r="F14" s="36">
        <f t="shared" si="9"/>
        <v>161.60329861111111</v>
      </c>
      <c r="G14" s="36"/>
      <c r="H14" s="69">
        <f t="shared" si="10"/>
        <v>1140.2799931182697</v>
      </c>
      <c r="I14" s="85">
        <f t="shared" si="11"/>
        <v>2982.2200068817301</v>
      </c>
      <c r="J14" s="70"/>
      <c r="K14" s="70"/>
      <c r="L14" s="71"/>
      <c r="M14" s="72"/>
      <c r="N14" s="70"/>
      <c r="O14" s="70"/>
      <c r="P14" s="70"/>
      <c r="Q14" s="73"/>
      <c r="R14" s="74">
        <f t="shared" si="7"/>
        <v>4284.1032986111113</v>
      </c>
      <c r="S14" s="68">
        <f t="shared" si="8"/>
        <v>4284.1032986111113</v>
      </c>
      <c r="T14" s="68">
        <f t="shared" si="4"/>
        <v>4122.5</v>
      </c>
    </row>
    <row r="15" spans="1:20" s="21" customFormat="1" x14ac:dyDescent="0.2">
      <c r="A15" s="66">
        <v>2</v>
      </c>
      <c r="B15" s="66" t="s">
        <v>22</v>
      </c>
      <c r="C15" s="67" t="s">
        <v>48</v>
      </c>
      <c r="D15" s="68">
        <f>+VLOOKUP(C15,'Intereses corridos'!$A$6:$C$26,3,FALSE)</f>
        <v>965</v>
      </c>
      <c r="E15" s="68">
        <f>+VLOOKUP(C15,'Intereses corridos'!$A$6:$J$26,10,FALSE)</f>
        <v>42.265659722222225</v>
      </c>
      <c r="F15" s="36">
        <f t="shared" si="9"/>
        <v>42.265659722222225</v>
      </c>
      <c r="G15" s="36"/>
      <c r="H15" s="69">
        <f t="shared" si="10"/>
        <v>258.9106337315601</v>
      </c>
      <c r="I15" s="85">
        <f t="shared" si="11"/>
        <v>677.13936626843986</v>
      </c>
      <c r="J15" s="70"/>
      <c r="K15" s="70"/>
      <c r="L15" s="71"/>
      <c r="M15" s="72"/>
      <c r="N15" s="70"/>
      <c r="O15" s="70"/>
      <c r="P15" s="70"/>
      <c r="Q15" s="73"/>
      <c r="R15" s="74">
        <f t="shared" si="7"/>
        <v>978.31565972222222</v>
      </c>
      <c r="S15" s="68">
        <f t="shared" si="8"/>
        <v>978.31565972222222</v>
      </c>
      <c r="T15" s="68">
        <f t="shared" si="4"/>
        <v>936.05</v>
      </c>
    </row>
    <row r="16" spans="1:20" s="21" customFormat="1" x14ac:dyDescent="0.2">
      <c r="A16" s="66">
        <v>2</v>
      </c>
      <c r="B16" s="66" t="s">
        <v>22</v>
      </c>
      <c r="C16" s="67" t="s">
        <v>52</v>
      </c>
      <c r="D16" s="86">
        <f>+VLOOKUP(C16,'Intereses corridos'!$A$6:$C$26,3,FALSE)</f>
        <v>1727</v>
      </c>
      <c r="E16" s="86">
        <f>+VLOOKUP(C16,'Intereses corridos'!$A$6:$J$26,10,FALSE)</f>
        <v>81.34889583333333</v>
      </c>
      <c r="F16" s="36">
        <f t="shared" si="9"/>
        <v>81.34889583333333</v>
      </c>
      <c r="G16" s="36"/>
      <c r="H16" s="69">
        <f t="shared" si="10"/>
        <v>463.35612896829457</v>
      </c>
      <c r="I16" s="85">
        <f t="shared" si="11"/>
        <v>1211.8338710317053</v>
      </c>
      <c r="J16" s="70"/>
      <c r="K16" s="70"/>
      <c r="L16" s="71"/>
      <c r="M16" s="72"/>
      <c r="N16" s="70"/>
      <c r="O16" s="70"/>
      <c r="P16" s="70"/>
      <c r="Q16" s="73"/>
      <c r="R16" s="74">
        <f t="shared" si="7"/>
        <v>1756.5388958333331</v>
      </c>
      <c r="S16" s="86">
        <f t="shared" si="8"/>
        <v>1756.5388958333331</v>
      </c>
      <c r="T16" s="86">
        <f t="shared" si="4"/>
        <v>1675.1899999999998</v>
      </c>
    </row>
    <row r="17" spans="1:21" s="21" customFormat="1" x14ac:dyDescent="0.2">
      <c r="A17" s="66">
        <v>2</v>
      </c>
      <c r="B17" s="66" t="s">
        <v>13</v>
      </c>
      <c r="C17" s="67" t="s">
        <v>58</v>
      </c>
      <c r="D17" s="68">
        <f>+VLOOKUP(C17,'Intereses corridos'!$A$6:$C$26,3,FALSE)</f>
        <v>1250</v>
      </c>
      <c r="E17" s="68">
        <f>+VLOOKUP(C17,'Intereses corridos'!$A$6:$J$26,10,FALSE)</f>
        <v>39.756944444444443</v>
      </c>
      <c r="F17" s="36"/>
      <c r="G17" s="36">
        <f t="shared" ref="G17:G18" si="12">+E17</f>
        <v>39.756944444444443</v>
      </c>
      <c r="H17" s="72"/>
      <c r="I17" s="70"/>
      <c r="J17" s="70"/>
      <c r="K17" s="70"/>
      <c r="L17" s="73"/>
      <c r="M17" s="69">
        <f>+($M$28-SUM($M$9:$M$11))*D17/(SUM($D$17:$D$18))</f>
        <v>309.99803252091573</v>
      </c>
      <c r="N17" s="85">
        <f>+(D17-M17/$M$4)*$N$4</f>
        <v>902.50196747908433</v>
      </c>
      <c r="O17" s="70"/>
      <c r="P17" s="70"/>
      <c r="Q17" s="71"/>
      <c r="R17" s="74">
        <f t="shared" ref="R17:R18" si="13">+G17+SUM(M17:Q17)</f>
        <v>1252.2569444444443</v>
      </c>
      <c r="S17" s="68">
        <f t="shared" ref="S17:S18" si="14">+R17/$T$2</f>
        <v>1472.7236792243261</v>
      </c>
      <c r="T17" s="68">
        <f t="shared" si="4"/>
        <v>1212.5</v>
      </c>
      <c r="U17" s="87"/>
    </row>
    <row r="18" spans="1:21" s="21" customFormat="1" x14ac:dyDescent="0.2">
      <c r="A18" s="75">
        <v>2</v>
      </c>
      <c r="B18" s="75" t="s">
        <v>13</v>
      </c>
      <c r="C18" s="76" t="s">
        <v>59</v>
      </c>
      <c r="D18" s="77">
        <f>+VLOOKUP(C18,'Intereses corridos'!$A$6:$C$26,3,FALSE)</f>
        <v>1000</v>
      </c>
      <c r="E18" s="77">
        <f>+VLOOKUP(C18,'Intereses corridos'!$A$6:$J$26,10,FALSE)</f>
        <v>33.395833333333336</v>
      </c>
      <c r="F18" s="180"/>
      <c r="G18" s="180">
        <f t="shared" si="12"/>
        <v>33.395833333333336</v>
      </c>
      <c r="H18" s="78"/>
      <c r="I18" s="79"/>
      <c r="J18" s="79"/>
      <c r="K18" s="79"/>
      <c r="L18" s="80"/>
      <c r="M18" s="81">
        <f>+($M$28-SUM($M$9:$M$11))*D18/(SUM($D$17:$D$18))</f>
        <v>247.99842601673259</v>
      </c>
      <c r="N18" s="85">
        <f>+(D18-M18/$M$4)*$N$4</f>
        <v>722.00157398326735</v>
      </c>
      <c r="O18" s="79"/>
      <c r="P18" s="79"/>
      <c r="Q18" s="71"/>
      <c r="R18" s="83">
        <f t="shared" si="13"/>
        <v>1003.3958333333334</v>
      </c>
      <c r="S18" s="77">
        <f t="shared" si="14"/>
        <v>1180.0491983221609</v>
      </c>
      <c r="T18" s="77">
        <f t="shared" si="4"/>
        <v>970</v>
      </c>
      <c r="U18" s="87"/>
    </row>
    <row r="19" spans="1:21" s="21" customFormat="1" x14ac:dyDescent="0.2">
      <c r="A19" s="57">
        <v>3</v>
      </c>
      <c r="B19" s="57" t="s">
        <v>22</v>
      </c>
      <c r="C19" s="58" t="s">
        <v>55</v>
      </c>
      <c r="D19" s="59">
        <f>+VLOOKUP(C19,'Intereses corridos'!$A$6:$C$26,3,FALSE)</f>
        <v>2617.6849999999999</v>
      </c>
      <c r="E19" s="59">
        <f>+VLOOKUP(C19,'Intereses corridos'!$A$6:$J$26,10,FALSE)</f>
        <v>172.98535041666665</v>
      </c>
      <c r="F19" s="179">
        <f t="shared" ref="F19:F21" si="15">+E19</f>
        <v>172.98535041666665</v>
      </c>
      <c r="G19" s="179"/>
      <c r="H19" s="172"/>
      <c r="I19" s="84">
        <f>+D19*I$4</f>
        <v>2539.15445</v>
      </c>
      <c r="J19" s="61"/>
      <c r="K19" s="61"/>
      <c r="L19" s="62"/>
      <c r="M19" s="63"/>
      <c r="N19" s="61"/>
      <c r="O19" s="61"/>
      <c r="P19" s="61"/>
      <c r="Q19" s="64"/>
      <c r="R19" s="65">
        <f t="shared" ref="R19:R21" si="16">+SUM(H19:L19)+F19</f>
        <v>2712.1398004166667</v>
      </c>
      <c r="S19" s="59">
        <f t="shared" ref="S19:S21" si="17">+R19</f>
        <v>2712.1398004166667</v>
      </c>
      <c r="T19" s="59">
        <f t="shared" si="4"/>
        <v>2539.15445</v>
      </c>
    </row>
    <row r="20" spans="1:21" s="21" customFormat="1" x14ac:dyDescent="0.2">
      <c r="A20" s="66">
        <v>3</v>
      </c>
      <c r="B20" s="66" t="s">
        <v>22</v>
      </c>
      <c r="C20" s="67" t="s">
        <v>49</v>
      </c>
      <c r="D20" s="68">
        <f>+VLOOKUP(C20,'Intereses corridos'!$A$6:$C$26,3,FALSE)</f>
        <v>3000</v>
      </c>
      <c r="E20" s="68">
        <f>+VLOOKUP(C20,'Intereses corridos'!$A$6:$J$26,10,FALSE)</f>
        <v>133.48958333333334</v>
      </c>
      <c r="F20" s="36">
        <f t="shared" si="15"/>
        <v>133.48958333333334</v>
      </c>
      <c r="G20" s="36"/>
      <c r="H20" s="173"/>
      <c r="I20" s="85">
        <f t="shared" ref="I20:I21" si="18">+D20*I$4</f>
        <v>2910</v>
      </c>
      <c r="J20" s="70"/>
      <c r="K20" s="70"/>
      <c r="L20" s="71"/>
      <c r="M20" s="72"/>
      <c r="N20" s="70"/>
      <c r="O20" s="70"/>
      <c r="P20" s="70"/>
      <c r="Q20" s="73"/>
      <c r="R20" s="74">
        <f t="shared" si="16"/>
        <v>3043.4895833333335</v>
      </c>
      <c r="S20" s="68">
        <f t="shared" si="17"/>
        <v>3043.4895833333335</v>
      </c>
      <c r="T20" s="68">
        <f t="shared" si="4"/>
        <v>2910</v>
      </c>
    </row>
    <row r="21" spans="1:21" s="21" customFormat="1" x14ac:dyDescent="0.2">
      <c r="A21" s="66">
        <v>3</v>
      </c>
      <c r="B21" s="66" t="s">
        <v>22</v>
      </c>
      <c r="C21" s="67" t="s">
        <v>53</v>
      </c>
      <c r="D21" s="68">
        <f>+VLOOKUP(C21,'Intereses corridos'!$A$6:$C$26,3,FALSE)</f>
        <v>2689.277</v>
      </c>
      <c r="E21" s="68">
        <f>+VLOOKUP(C21,'Intereses corridos'!$A$6:$J$26,10,FALSE)</f>
        <v>130.93417393749999</v>
      </c>
      <c r="F21" s="36">
        <f t="shared" si="15"/>
        <v>130.93417393749999</v>
      </c>
      <c r="G21" s="36"/>
      <c r="H21" s="173"/>
      <c r="I21" s="85">
        <f t="shared" si="18"/>
        <v>2608.5986899999998</v>
      </c>
      <c r="J21" s="70"/>
      <c r="K21" s="70"/>
      <c r="L21" s="71"/>
      <c r="M21" s="72"/>
      <c r="N21" s="70"/>
      <c r="O21" s="70"/>
      <c r="P21" s="70"/>
      <c r="Q21" s="73"/>
      <c r="R21" s="74">
        <f t="shared" si="16"/>
        <v>2739.5328639374998</v>
      </c>
      <c r="S21" s="68">
        <f t="shared" si="17"/>
        <v>2739.5328639374998</v>
      </c>
      <c r="T21" s="68">
        <f t="shared" si="4"/>
        <v>2608.5986899999998</v>
      </c>
    </row>
    <row r="22" spans="1:21" s="21" customFormat="1" x14ac:dyDescent="0.2">
      <c r="A22" s="75">
        <v>3</v>
      </c>
      <c r="B22" s="75" t="s">
        <v>13</v>
      </c>
      <c r="C22" s="76" t="s">
        <v>60</v>
      </c>
      <c r="D22" s="77">
        <f>+VLOOKUP(C22,'Intereses corridos'!$A$6:$C$26,3,FALSE)</f>
        <v>750</v>
      </c>
      <c r="E22" s="77">
        <f>+VLOOKUP(C22,'Intereses corridos'!$A$6:$J$26,10,FALSE)</f>
        <v>38.411458333333336</v>
      </c>
      <c r="F22" s="180"/>
      <c r="G22" s="180">
        <f>+E22</f>
        <v>38.411458333333336</v>
      </c>
      <c r="H22" s="174"/>
      <c r="I22" s="175"/>
      <c r="J22" s="175"/>
      <c r="K22" s="175"/>
      <c r="L22" s="176"/>
      <c r="M22" s="174"/>
      <c r="N22" s="88">
        <f>+D22*N$4</f>
        <v>727.5</v>
      </c>
      <c r="O22" s="79"/>
      <c r="P22" s="79"/>
      <c r="Q22" s="82"/>
      <c r="R22" s="83">
        <f>+G22+SUM(M22:Q22)</f>
        <v>765.91145833333337</v>
      </c>
      <c r="S22" s="77">
        <f>+R22/$T$2</f>
        <v>900.75439060723681</v>
      </c>
      <c r="T22" s="77">
        <f t="shared" si="4"/>
        <v>727.5</v>
      </c>
    </row>
    <row r="23" spans="1:21" s="21" customFormat="1" x14ac:dyDescent="0.2">
      <c r="A23" s="57"/>
      <c r="B23" s="57" t="s">
        <v>22</v>
      </c>
      <c r="C23" s="58" t="s">
        <v>63</v>
      </c>
      <c r="D23" s="59">
        <f>+VLOOKUP(C23,'Intereses corridos'!$A$6:$C$26,3,FALSE)</f>
        <v>5092.461284</v>
      </c>
      <c r="E23" s="59">
        <f>+VLOOKUP(C23,'Intereses corridos'!$A$6:$J$26,10,FALSE)</f>
        <v>285.78892725807998</v>
      </c>
      <c r="F23" s="179">
        <f t="shared" ref="F23" si="19">+E23</f>
        <v>285.78892725807998</v>
      </c>
      <c r="G23" s="179"/>
      <c r="H23" s="63"/>
      <c r="I23" s="61"/>
      <c r="J23" s="84">
        <f>+D23*J$4</f>
        <v>5092.461284</v>
      </c>
      <c r="K23" s="84"/>
      <c r="L23" s="62"/>
      <c r="M23" s="63"/>
      <c r="N23" s="61"/>
      <c r="O23" s="61"/>
      <c r="P23" s="61"/>
      <c r="Q23" s="64"/>
      <c r="R23" s="65">
        <f t="shared" ref="R23" si="20">+SUM(H23:L23)+F23</f>
        <v>5378.2502112580796</v>
      </c>
      <c r="S23" s="59">
        <f>+R23</f>
        <v>5378.2502112580796</v>
      </c>
      <c r="T23" s="59">
        <f t="shared" si="4"/>
        <v>5092.461284</v>
      </c>
    </row>
    <row r="24" spans="1:21" s="21" customFormat="1" x14ac:dyDescent="0.2">
      <c r="A24" s="75"/>
      <c r="B24" s="75" t="s">
        <v>13</v>
      </c>
      <c r="C24" s="76" t="s">
        <v>62</v>
      </c>
      <c r="D24" s="77">
        <f>+VLOOKUP(C24,'Intereses corridos'!$A$6:$C$26,3,FALSE)</f>
        <v>5769.0548710000003</v>
      </c>
      <c r="E24" s="77">
        <f>+VLOOKUP(C24,'Intereses corridos'!$A$6:$J$26,10,FALSE)</f>
        <v>305.77272828493557</v>
      </c>
      <c r="F24" s="180"/>
      <c r="G24" s="180">
        <f>+E24</f>
        <v>305.77272828493557</v>
      </c>
      <c r="H24" s="78"/>
      <c r="I24" s="79"/>
      <c r="J24" s="79"/>
      <c r="K24" s="79"/>
      <c r="L24" s="80"/>
      <c r="M24" s="78"/>
      <c r="N24" s="79"/>
      <c r="O24" s="88">
        <f>+D24*O$4</f>
        <v>5769.0548710000003</v>
      </c>
      <c r="P24" s="88"/>
      <c r="Q24" s="82"/>
      <c r="R24" s="83">
        <f>+G24+SUM(M24:Q24)</f>
        <v>6074.8275992849358</v>
      </c>
      <c r="S24" s="77">
        <f>+R24/$T$2</f>
        <v>7144.3344693460385</v>
      </c>
      <c r="T24" s="77">
        <f t="shared" si="4"/>
        <v>5769.0548710000003</v>
      </c>
    </row>
    <row r="25" spans="1:21" s="21" customFormat="1" x14ac:dyDescent="0.2">
      <c r="A25" s="57"/>
      <c r="B25" s="57" t="s">
        <v>22</v>
      </c>
      <c r="C25" s="58" t="s">
        <v>65</v>
      </c>
      <c r="D25" s="59">
        <f>+VLOOKUP(C25,'Intereses corridos'!$A$6:$C$26,3,FALSE)</f>
        <v>5033.5991210000002</v>
      </c>
      <c r="E25" s="59">
        <f>+VLOOKUP(C25,'Intereses corridos'!$A$6:$J$26,10,FALSE)</f>
        <v>80.747319232708335</v>
      </c>
      <c r="F25" s="179">
        <f t="shared" ref="F25" si="21">+E25</f>
        <v>80.747319232708335</v>
      </c>
      <c r="G25" s="179"/>
      <c r="H25" s="63"/>
      <c r="I25" s="61"/>
      <c r="J25" s="61"/>
      <c r="K25" s="84">
        <f>+D25*K$4</f>
        <v>5033.5991210000002</v>
      </c>
      <c r="L25" s="62"/>
      <c r="M25" s="63"/>
      <c r="N25" s="61"/>
      <c r="O25" s="61"/>
      <c r="P25" s="61"/>
      <c r="Q25" s="64"/>
      <c r="R25" s="65">
        <f t="shared" ref="R25" si="22">+SUM(H25:L25)+F25</f>
        <v>5114.3464402327081</v>
      </c>
      <c r="S25" s="59">
        <f>+R25</f>
        <v>5114.3464402327081</v>
      </c>
      <c r="T25" s="59">
        <f t="shared" si="4"/>
        <v>5033.5991210000002</v>
      </c>
    </row>
    <row r="26" spans="1:21" s="21" customFormat="1" x14ac:dyDescent="0.2">
      <c r="A26" s="75"/>
      <c r="B26" s="75" t="s">
        <v>13</v>
      </c>
      <c r="C26" s="76" t="s">
        <v>64</v>
      </c>
      <c r="D26" s="77">
        <f>+VLOOKUP(C26,'Intereses corridos'!$A$6:$C$26,3,FALSE)</f>
        <v>6473.2230979999995</v>
      </c>
      <c r="E26" s="77">
        <f>+VLOOKUP(C26,'Intereses corridos'!$A$6:$J$26,10,FALSE)</f>
        <v>93.595613526971107</v>
      </c>
      <c r="F26" s="180"/>
      <c r="G26" s="180">
        <f>+E26</f>
        <v>93.595613526971107</v>
      </c>
      <c r="H26" s="78"/>
      <c r="I26" s="79"/>
      <c r="J26" s="79"/>
      <c r="K26" s="79"/>
      <c r="L26" s="80"/>
      <c r="M26" s="78"/>
      <c r="N26" s="79"/>
      <c r="O26" s="79"/>
      <c r="P26" s="88">
        <f>+D26*P$4</f>
        <v>6473.2230979999995</v>
      </c>
      <c r="Q26" s="82"/>
      <c r="R26" s="83">
        <f>+G26+SUM(M26:Q26)</f>
        <v>6566.8187115269702</v>
      </c>
      <c r="S26" s="77">
        <f>+R26/$T$2</f>
        <v>7722.943327680784</v>
      </c>
      <c r="T26" s="77">
        <f t="shared" si="4"/>
        <v>6473.2230979999995</v>
      </c>
    </row>
    <row r="27" spans="1:21" s="24" customFormat="1" ht="18" customHeight="1" x14ac:dyDescent="0.25">
      <c r="A27" s="317" t="s">
        <v>37</v>
      </c>
      <c r="B27" s="318"/>
      <c r="C27" s="318"/>
      <c r="D27" s="319"/>
      <c r="E27" s="29"/>
      <c r="F27" s="30">
        <f t="shared" ref="F27:G27" si="23">+SUM(F6:F26)</f>
        <v>2095.1075902893995</v>
      </c>
      <c r="G27" s="30">
        <f t="shared" si="23"/>
        <v>574.40111776219908</v>
      </c>
      <c r="H27" s="31">
        <f t="shared" ref="H27:Q27" si="24">+SUM(H6:H26)</f>
        <v>13800</v>
      </c>
      <c r="I27" s="31">
        <f t="shared" si="24"/>
        <v>20089.677640000002</v>
      </c>
      <c r="J27" s="31">
        <f t="shared" si="24"/>
        <v>5092.461284</v>
      </c>
      <c r="K27" s="31">
        <f t="shared" si="24"/>
        <v>5033.5991210000002</v>
      </c>
      <c r="L27" s="31">
        <f t="shared" si="24"/>
        <v>0</v>
      </c>
      <c r="M27" s="31">
        <f t="shared" si="24"/>
        <v>3100</v>
      </c>
      <c r="N27" s="31">
        <f t="shared" si="24"/>
        <v>2352.0035414623517</v>
      </c>
      <c r="O27" s="31">
        <f t="shared" si="24"/>
        <v>5769.0548710000003</v>
      </c>
      <c r="P27" s="31">
        <f t="shared" si="24"/>
        <v>6473.2230979999995</v>
      </c>
      <c r="Q27" s="32">
        <f t="shared" si="24"/>
        <v>0</v>
      </c>
      <c r="R27" s="30"/>
      <c r="S27" s="30">
        <f>+SUM(S6:S26)</f>
        <v>67595.830497366973</v>
      </c>
      <c r="T27" s="30"/>
    </row>
    <row r="28" spans="1:21" s="24" customFormat="1" ht="18" customHeight="1" x14ac:dyDescent="0.25">
      <c r="A28" s="320" t="s">
        <v>70</v>
      </c>
      <c r="B28" s="320"/>
      <c r="C28" s="320"/>
      <c r="D28" s="321"/>
      <c r="E28" s="33"/>
      <c r="F28" s="34"/>
      <c r="G28" s="34"/>
      <c r="H28" s="34">
        <v>13800</v>
      </c>
      <c r="I28" s="34">
        <v>23000</v>
      </c>
      <c r="J28" s="34"/>
      <c r="K28" s="34"/>
      <c r="L28" s="34"/>
      <c r="M28" s="34">
        <v>3100</v>
      </c>
      <c r="N28" s="34">
        <v>2800</v>
      </c>
      <c r="O28" s="34"/>
      <c r="P28" s="34"/>
      <c r="Q28" s="35"/>
      <c r="R28" s="34"/>
      <c r="S28" s="34"/>
      <c r="T28" s="34"/>
    </row>
    <row r="29" spans="1:21" x14ac:dyDescent="0.2">
      <c r="A29" s="89" t="s">
        <v>71</v>
      </c>
      <c r="D29" s="7"/>
      <c r="E29" s="7"/>
      <c r="F29" s="7"/>
      <c r="G29" s="7"/>
      <c r="H29" s="8"/>
      <c r="J29" s="8"/>
      <c r="K29" s="8"/>
      <c r="L29" s="8"/>
      <c r="M29" s="8"/>
      <c r="N29" s="8"/>
      <c r="O29" s="8"/>
      <c r="P29" s="8"/>
      <c r="Q29" s="8"/>
    </row>
    <row r="30" spans="1:21" s="7" customFormat="1" x14ac:dyDescent="0.2">
      <c r="B30" s="9"/>
      <c r="C30" s="9"/>
      <c r="D30" s="9"/>
      <c r="E30" s="9"/>
      <c r="F30" s="9"/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</row>
    <row r="31" spans="1:21" x14ac:dyDescent="0.2">
      <c r="D31" s="11"/>
      <c r="E31" s="11"/>
      <c r="F31" s="11"/>
      <c r="G31" s="11"/>
      <c r="H31" s="11"/>
      <c r="I31" s="11"/>
      <c r="J31" s="11"/>
      <c r="K31" s="11"/>
      <c r="L31" s="11"/>
      <c r="O31" s="11"/>
      <c r="P31" s="11"/>
    </row>
    <row r="32" spans="1:21" x14ac:dyDescent="0.2">
      <c r="D32" s="11"/>
      <c r="E32" s="11"/>
      <c r="F32" s="11"/>
      <c r="G32" s="11"/>
      <c r="H32" s="177"/>
      <c r="I32" s="177"/>
      <c r="J32" s="11"/>
      <c r="K32" s="11"/>
      <c r="L32" s="11"/>
      <c r="M32" s="177"/>
      <c r="N32" s="177"/>
      <c r="O32" s="11"/>
      <c r="P32" s="11"/>
    </row>
    <row r="33" spans="4:16" x14ac:dyDescent="0.2">
      <c r="D33" s="11"/>
      <c r="E33" s="11"/>
      <c r="F33" s="11"/>
      <c r="G33" s="11"/>
      <c r="H33" s="12"/>
      <c r="I33" s="13"/>
      <c r="J33" s="11"/>
      <c r="K33" s="11"/>
      <c r="L33" s="11"/>
      <c r="M33" s="12"/>
      <c r="N33" s="13"/>
      <c r="O33" s="11"/>
      <c r="P33" s="11"/>
    </row>
    <row r="34" spans="4:16" x14ac:dyDescent="0.2">
      <c r="D34" s="11"/>
      <c r="E34" s="11"/>
      <c r="F34" s="11"/>
      <c r="G34" s="11"/>
      <c r="H34" s="178"/>
      <c r="I34" s="11"/>
      <c r="J34" s="11"/>
      <c r="K34" s="11"/>
      <c r="L34" s="11"/>
      <c r="M34" s="178"/>
      <c r="N34" s="11"/>
      <c r="O34" s="11"/>
      <c r="P34" s="11"/>
    </row>
    <row r="35" spans="4:16" x14ac:dyDescent="0.2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4:16" x14ac:dyDescent="0.2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</sheetData>
  <mergeCells count="3">
    <mergeCell ref="H3:Q3"/>
    <mergeCell ref="A27:D27"/>
    <mergeCell ref="A28:D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Perfil</vt:lpstr>
      <vt:lpstr>Valor propuesta</vt:lpstr>
      <vt:lpstr>Cupones promedio</vt:lpstr>
      <vt:lpstr>Perfil de vencimientos</vt:lpstr>
      <vt:lpstr>Nuevos Bonos</vt:lpstr>
      <vt:lpstr>Intereses corridos</vt:lpstr>
      <vt:lpstr>Eleccion de canje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</dc:creator>
  <cp:lastModifiedBy>Florencia Calligaro</cp:lastModifiedBy>
  <cp:lastPrinted>2020-06-24T18:43:27Z</cp:lastPrinted>
  <dcterms:created xsi:type="dcterms:W3CDTF">2015-06-05T18:19:34Z</dcterms:created>
  <dcterms:modified xsi:type="dcterms:W3CDTF">2020-08-06T18:29:29Z</dcterms:modified>
</cp:coreProperties>
</file>